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23.évi költségvetés\"/>
    </mc:Choice>
  </mc:AlternateContent>
  <bookViews>
    <workbookView xWindow="480" yWindow="60" windowWidth="11352" windowHeight="9468" activeTab="1"/>
  </bookViews>
  <sheets>
    <sheet name="költségvetés" sheetId="1" r:id="rId1"/>
    <sheet name="Előirányzat felhasználási terv" sheetId="5" r:id="rId2"/>
  </sheets>
  <calcPr calcId="152511"/>
</workbook>
</file>

<file path=xl/calcChain.xml><?xml version="1.0" encoding="utf-8"?>
<calcChain xmlns="http://schemas.openxmlformats.org/spreadsheetml/2006/main">
  <c r="N67" i="5" l="1"/>
  <c r="C23" i="5"/>
  <c r="D23" i="5"/>
  <c r="E23" i="5"/>
  <c r="F23" i="5"/>
  <c r="G23" i="5"/>
  <c r="H23" i="5"/>
  <c r="I23" i="5"/>
  <c r="J23" i="5"/>
  <c r="K23" i="5"/>
  <c r="L23" i="5"/>
  <c r="M23" i="5"/>
  <c r="B23" i="5"/>
  <c r="M43" i="5"/>
  <c r="E43" i="5"/>
  <c r="F43" i="5"/>
  <c r="G43" i="5"/>
  <c r="H43" i="5"/>
  <c r="I43" i="5"/>
  <c r="D43" i="5"/>
  <c r="C43" i="5"/>
  <c r="J43" i="5"/>
  <c r="K43" i="5"/>
  <c r="L43" i="5"/>
  <c r="B43" i="5"/>
  <c r="E42" i="5"/>
  <c r="F42" i="5"/>
  <c r="G42" i="5"/>
  <c r="H42" i="5"/>
  <c r="I42" i="5"/>
  <c r="D42" i="5"/>
  <c r="L42" i="5"/>
  <c r="B42" i="5"/>
  <c r="C42" i="5"/>
  <c r="J42" i="5"/>
  <c r="K42" i="5"/>
  <c r="M42" i="5"/>
  <c r="M44" i="5"/>
  <c r="I44" i="5"/>
  <c r="H44" i="5"/>
  <c r="G44" i="5"/>
  <c r="C44" i="5"/>
  <c r="D44" i="5"/>
  <c r="E44" i="5"/>
  <c r="F44" i="5"/>
  <c r="J44" i="5"/>
  <c r="K44" i="5"/>
  <c r="L44" i="5"/>
  <c r="B44" i="5"/>
  <c r="M63" i="5"/>
  <c r="L63" i="5"/>
  <c r="C63" i="5"/>
  <c r="D63" i="5"/>
  <c r="E63" i="5"/>
  <c r="F63" i="5"/>
  <c r="G63" i="5"/>
  <c r="H63" i="5"/>
  <c r="I63" i="5"/>
  <c r="J63" i="5"/>
  <c r="K63" i="5"/>
  <c r="B63" i="5"/>
  <c r="M62" i="5"/>
  <c r="L62" i="5"/>
  <c r="C62" i="5"/>
  <c r="D62" i="5"/>
  <c r="E62" i="5"/>
  <c r="F62" i="5"/>
  <c r="G62" i="5"/>
  <c r="H62" i="5"/>
  <c r="I62" i="5"/>
  <c r="J62" i="5"/>
  <c r="K62" i="5"/>
  <c r="B62" i="5"/>
  <c r="C48" i="5" l="1"/>
  <c r="D48" i="5"/>
  <c r="E48" i="5"/>
  <c r="F48" i="5"/>
  <c r="G48" i="5"/>
  <c r="H48" i="5"/>
  <c r="I48" i="5"/>
  <c r="J48" i="5"/>
  <c r="K48" i="5"/>
  <c r="L48" i="5"/>
  <c r="M48" i="5"/>
  <c r="B48" i="5"/>
  <c r="C47" i="5"/>
  <c r="D47" i="5"/>
  <c r="E47" i="5"/>
  <c r="F47" i="5"/>
  <c r="G47" i="5"/>
  <c r="H47" i="5"/>
  <c r="I47" i="5"/>
  <c r="J47" i="5"/>
  <c r="K47" i="5"/>
  <c r="L47" i="5"/>
  <c r="M47" i="5"/>
  <c r="B47" i="5"/>
  <c r="N23" i="5"/>
  <c r="J30" i="5"/>
  <c r="K30" i="5"/>
  <c r="L30" i="5"/>
  <c r="M30" i="5"/>
  <c r="C30" i="5"/>
  <c r="D30" i="5"/>
  <c r="E30" i="5"/>
  <c r="F30" i="5"/>
  <c r="G30" i="5"/>
  <c r="B30" i="5"/>
  <c r="M29" i="5"/>
  <c r="J28" i="5"/>
  <c r="C29" i="5"/>
  <c r="D29" i="5"/>
  <c r="E29" i="5"/>
  <c r="F29" i="5"/>
  <c r="G29" i="5"/>
  <c r="H29" i="5"/>
  <c r="I29" i="5"/>
  <c r="J29" i="5"/>
  <c r="K29" i="5"/>
  <c r="L29" i="5"/>
  <c r="C31" i="5"/>
  <c r="D31" i="5"/>
  <c r="E31" i="5"/>
  <c r="F31" i="5"/>
  <c r="G31" i="5"/>
  <c r="H31" i="5"/>
  <c r="I31" i="5"/>
  <c r="J31" i="5"/>
  <c r="K31" i="5"/>
  <c r="L31" i="5"/>
  <c r="M31" i="5"/>
  <c r="B31" i="5"/>
  <c r="B29" i="5"/>
  <c r="M28" i="5"/>
  <c r="G28" i="5"/>
  <c r="K28" i="5"/>
  <c r="L28" i="5"/>
  <c r="C28" i="5"/>
  <c r="D28" i="5"/>
  <c r="E28" i="5"/>
  <c r="F28" i="5"/>
  <c r="B28" i="5"/>
  <c r="I25" i="5"/>
  <c r="C25" i="5"/>
  <c r="D25" i="5"/>
  <c r="E25" i="5"/>
  <c r="F25" i="5"/>
  <c r="G25" i="5"/>
  <c r="H25" i="5"/>
  <c r="J25" i="5"/>
  <c r="K25" i="5"/>
  <c r="L25" i="5"/>
  <c r="M25" i="5"/>
  <c r="B25" i="5"/>
  <c r="C26" i="5"/>
  <c r="D26" i="5"/>
  <c r="E26" i="5"/>
  <c r="F26" i="5"/>
  <c r="G26" i="5"/>
  <c r="H26" i="5"/>
  <c r="I26" i="5"/>
  <c r="J26" i="5"/>
  <c r="K26" i="5"/>
  <c r="L26" i="5"/>
  <c r="M26" i="5"/>
  <c r="B26" i="5"/>
  <c r="N24" i="5"/>
  <c r="B38" i="5"/>
  <c r="C22" i="5"/>
  <c r="D22" i="5"/>
  <c r="E22" i="5"/>
  <c r="F22" i="5"/>
  <c r="G22" i="5"/>
  <c r="H22" i="5"/>
  <c r="I22" i="5"/>
  <c r="J22" i="5"/>
  <c r="K22" i="5"/>
  <c r="L22" i="5"/>
  <c r="M22" i="5"/>
  <c r="B22" i="5"/>
  <c r="F17" i="5"/>
  <c r="G17" i="5"/>
  <c r="H17" i="5"/>
  <c r="I17" i="5"/>
  <c r="E17" i="5"/>
  <c r="D17" i="5"/>
  <c r="D18" i="5"/>
  <c r="N18" i="5"/>
  <c r="G18" i="5"/>
  <c r="H18" i="5"/>
  <c r="I18" i="5"/>
  <c r="J18" i="5"/>
  <c r="K18" i="5"/>
  <c r="L18" i="5"/>
  <c r="M18" i="5"/>
  <c r="E18" i="5"/>
  <c r="F18" i="5"/>
  <c r="C18" i="5"/>
  <c r="B18" i="5"/>
  <c r="M10" i="5"/>
  <c r="M11" i="5"/>
  <c r="M12" i="5"/>
  <c r="M13" i="5"/>
  <c r="L10" i="5"/>
  <c r="L11" i="5"/>
  <c r="L12" i="5"/>
  <c r="L13" i="5"/>
  <c r="K10" i="5"/>
  <c r="K11" i="5"/>
  <c r="K12" i="5"/>
  <c r="K13" i="5"/>
  <c r="J10" i="5"/>
  <c r="J11" i="5"/>
  <c r="J12" i="5"/>
  <c r="J13" i="5"/>
  <c r="I10" i="5"/>
  <c r="I11" i="5"/>
  <c r="I12" i="5"/>
  <c r="I13" i="5"/>
  <c r="H10" i="5"/>
  <c r="H11" i="5"/>
  <c r="H12" i="5"/>
  <c r="H13" i="5"/>
  <c r="G10" i="5"/>
  <c r="G11" i="5"/>
  <c r="G12" i="5"/>
  <c r="G13" i="5"/>
  <c r="F10" i="5"/>
  <c r="F11" i="5"/>
  <c r="F12" i="5"/>
  <c r="F13" i="5"/>
  <c r="E10" i="5"/>
  <c r="E11" i="5"/>
  <c r="E12" i="5"/>
  <c r="E13" i="5"/>
  <c r="C13" i="5"/>
  <c r="B13" i="5"/>
  <c r="D10" i="5"/>
  <c r="D11" i="5"/>
  <c r="D12" i="5"/>
  <c r="D13" i="5"/>
  <c r="C10" i="5"/>
  <c r="C11" i="5"/>
  <c r="C12" i="5"/>
  <c r="B10" i="5"/>
  <c r="B11" i="5"/>
  <c r="B12" i="5"/>
  <c r="M9" i="5"/>
  <c r="L9" i="5"/>
  <c r="K9" i="5"/>
  <c r="J9" i="5"/>
  <c r="I9" i="5"/>
  <c r="H9" i="5"/>
  <c r="G9" i="5"/>
  <c r="F9" i="5"/>
  <c r="E9" i="5"/>
  <c r="D9" i="5"/>
  <c r="C9" i="5"/>
  <c r="B9" i="5"/>
  <c r="D40" i="1" l="1"/>
  <c r="D39" i="1"/>
  <c r="G38" i="1"/>
  <c r="F38" i="1"/>
  <c r="F8" i="1" s="1"/>
  <c r="F41" i="1" s="1"/>
  <c r="E38" i="1"/>
  <c r="D38" i="1" s="1"/>
  <c r="C50" i="1" s="1"/>
  <c r="C38" i="1"/>
  <c r="D37" i="1"/>
  <c r="D35" i="1" s="1"/>
  <c r="C47" i="1" s="1"/>
  <c r="C49" i="1" s="1"/>
  <c r="D36" i="1"/>
  <c r="G35" i="1"/>
  <c r="F35" i="1"/>
  <c r="E35" i="1"/>
  <c r="C35" i="1"/>
  <c r="D34" i="1"/>
  <c r="G33" i="1"/>
  <c r="D33" i="1" s="1"/>
  <c r="F33" i="1"/>
  <c r="E33" i="1"/>
  <c r="C33" i="1"/>
  <c r="K32" i="1"/>
  <c r="D32" i="1"/>
  <c r="K31" i="1"/>
  <c r="D31" i="1"/>
  <c r="N30" i="1"/>
  <c r="M30" i="1"/>
  <c r="L30" i="1"/>
  <c r="K30" i="1"/>
  <c r="J30" i="1"/>
  <c r="D30" i="1"/>
  <c r="K29" i="1"/>
  <c r="D29" i="1"/>
  <c r="N28" i="1"/>
  <c r="M28" i="1"/>
  <c r="L28" i="1"/>
  <c r="K28" i="1"/>
  <c r="C51" i="1" s="1"/>
  <c r="J28" i="1"/>
  <c r="D28" i="1"/>
  <c r="K27" i="1"/>
  <c r="D27" i="1"/>
  <c r="K26" i="1"/>
  <c r="C48" i="1" s="1"/>
  <c r="D26" i="1"/>
  <c r="D25" i="1"/>
  <c r="G24" i="1"/>
  <c r="D24" i="1" s="1"/>
  <c r="F24" i="1"/>
  <c r="E24" i="1"/>
  <c r="C24" i="1"/>
  <c r="K23" i="1"/>
  <c r="D23" i="1"/>
  <c r="K22" i="1"/>
  <c r="D22" i="1"/>
  <c r="K21" i="1"/>
  <c r="D21" i="1"/>
  <c r="N20" i="1"/>
  <c r="M20" i="1"/>
  <c r="L20" i="1"/>
  <c r="K20" i="1" s="1"/>
  <c r="J20" i="1"/>
  <c r="G20" i="1"/>
  <c r="D20" i="1" s="1"/>
  <c r="F20" i="1"/>
  <c r="E20" i="1"/>
  <c r="C20" i="1"/>
  <c r="K19" i="1"/>
  <c r="D19" i="1"/>
  <c r="N18" i="1"/>
  <c r="M18" i="1"/>
  <c r="K18" i="1" s="1"/>
  <c r="D18" i="1"/>
  <c r="K17" i="1"/>
  <c r="G17" i="1"/>
  <c r="D17" i="1" s="1"/>
  <c r="F17" i="1"/>
  <c r="E17" i="1"/>
  <c r="C17" i="1"/>
  <c r="D16" i="1"/>
  <c r="K15" i="1"/>
  <c r="D15" i="1"/>
  <c r="K14" i="1"/>
  <c r="D14" i="1"/>
  <c r="K13" i="1"/>
  <c r="D13" i="1"/>
  <c r="N12" i="1"/>
  <c r="K12" i="1" s="1"/>
  <c r="M12" i="1"/>
  <c r="L12" i="1"/>
  <c r="D12" i="1"/>
  <c r="K11" i="1"/>
  <c r="D11" i="1"/>
  <c r="K10" i="1"/>
  <c r="D10" i="1"/>
  <c r="K9" i="1"/>
  <c r="C45" i="1" s="1"/>
  <c r="G9" i="1"/>
  <c r="F9" i="1"/>
  <c r="E9" i="1"/>
  <c r="D9" i="1" s="1"/>
  <c r="C44" i="1" s="1"/>
  <c r="C9" i="1"/>
  <c r="M8" i="1"/>
  <c r="M41" i="1" s="1"/>
  <c r="L8" i="1"/>
  <c r="L41" i="1" s="1"/>
  <c r="J8" i="1"/>
  <c r="J41" i="1" s="1"/>
  <c r="G8" i="1"/>
  <c r="G41" i="1" s="1"/>
  <c r="C8" i="1"/>
  <c r="C41" i="1" s="1"/>
  <c r="C46" i="1" l="1"/>
  <c r="C52" i="1"/>
  <c r="N8" i="1"/>
  <c r="N41" i="1" s="1"/>
  <c r="E8" i="1"/>
  <c r="N14" i="5"/>
  <c r="E41" i="1" l="1"/>
  <c r="D8" i="1"/>
  <c r="D41" i="1" s="1"/>
  <c r="K8" i="1"/>
  <c r="K41" i="1" s="1"/>
  <c r="C53" i="1"/>
  <c r="N56" i="5"/>
  <c r="N27" i="5"/>
  <c r="D61" i="5" l="1"/>
  <c r="D59" i="5" s="1"/>
  <c r="E61" i="5"/>
  <c r="E59" i="5" s="1"/>
  <c r="I61" i="5"/>
  <c r="I59" i="5" s="1"/>
  <c r="K61" i="5"/>
  <c r="K59" i="5" s="1"/>
  <c r="M61" i="5"/>
  <c r="M59" i="5" s="1"/>
  <c r="N25" i="5"/>
  <c r="N30" i="5"/>
  <c r="C34" i="5"/>
  <c r="D34" i="5"/>
  <c r="E34" i="5"/>
  <c r="F34" i="5"/>
  <c r="G34" i="5"/>
  <c r="H34" i="5"/>
  <c r="I34" i="5"/>
  <c r="J34" i="5"/>
  <c r="K34" i="5"/>
  <c r="L34" i="5"/>
  <c r="M34" i="5"/>
  <c r="N36" i="5"/>
  <c r="B34" i="5"/>
  <c r="N38" i="5"/>
  <c r="D53" i="5"/>
  <c r="C16" i="5"/>
  <c r="D16" i="5"/>
  <c r="E16" i="5"/>
  <c r="F16" i="5"/>
  <c r="G16" i="5"/>
  <c r="H16" i="5"/>
  <c r="I16" i="5"/>
  <c r="J16" i="5"/>
  <c r="K16" i="5"/>
  <c r="L16" i="5"/>
  <c r="M16" i="5"/>
  <c r="B19" i="5"/>
  <c r="C19" i="5"/>
  <c r="D19" i="5"/>
  <c r="E19" i="5"/>
  <c r="F19" i="5"/>
  <c r="G19" i="5"/>
  <c r="H19" i="5"/>
  <c r="I19" i="5"/>
  <c r="J19" i="5"/>
  <c r="K19" i="5"/>
  <c r="L19" i="5"/>
  <c r="M19" i="5"/>
  <c r="N26" i="5"/>
  <c r="B51" i="5"/>
  <c r="E51" i="5"/>
  <c r="F51" i="5"/>
  <c r="G51" i="5"/>
  <c r="H51" i="5"/>
  <c r="I51" i="5"/>
  <c r="J51" i="5"/>
  <c r="K51" i="5"/>
  <c r="L51" i="5"/>
  <c r="M51" i="5"/>
  <c r="B53" i="5"/>
  <c r="C53" i="5"/>
  <c r="E53" i="5"/>
  <c r="F53" i="5"/>
  <c r="G53" i="5"/>
  <c r="H53" i="5"/>
  <c r="I53" i="5"/>
  <c r="K53" i="5"/>
  <c r="L53" i="5"/>
  <c r="M53" i="5"/>
  <c r="N60" i="5"/>
  <c r="L61" i="5"/>
  <c r="L59" i="5" s="1"/>
  <c r="N57" i="5"/>
  <c r="N58" i="5"/>
  <c r="N50" i="5"/>
  <c r="N49" i="5"/>
  <c r="N46" i="5"/>
  <c r="C37" i="5"/>
  <c r="D37" i="5"/>
  <c r="E37" i="5"/>
  <c r="F37" i="5"/>
  <c r="G37" i="5"/>
  <c r="H37" i="5"/>
  <c r="I37" i="5"/>
  <c r="J37" i="5"/>
  <c r="K37" i="5"/>
  <c r="L37" i="5"/>
  <c r="M37" i="5"/>
  <c r="N39" i="5"/>
  <c r="C32" i="5"/>
  <c r="D32" i="5"/>
  <c r="E32" i="5"/>
  <c r="F32" i="5"/>
  <c r="G32" i="5"/>
  <c r="H32" i="5"/>
  <c r="I32" i="5"/>
  <c r="J32" i="5"/>
  <c r="K32" i="5"/>
  <c r="L32" i="5"/>
  <c r="M32" i="5"/>
  <c r="B32" i="5"/>
  <c r="N33" i="5"/>
  <c r="N32" i="5" s="1"/>
  <c r="N35" i="5"/>
  <c r="N21" i="5"/>
  <c r="N20" i="5"/>
  <c r="N17" i="5"/>
  <c r="N15" i="5"/>
  <c r="B37" i="5"/>
  <c r="H61" i="5"/>
  <c r="H59" i="5" s="1"/>
  <c r="J53" i="5"/>
  <c r="B16" i="5"/>
  <c r="J61" i="5" l="1"/>
  <c r="J59" i="5" s="1"/>
  <c r="L8" i="5"/>
  <c r="B45" i="5"/>
  <c r="M45" i="5"/>
  <c r="M41" i="5" s="1"/>
  <c r="M65" i="5" s="1"/>
  <c r="J8" i="5"/>
  <c r="G61" i="5"/>
  <c r="G59" i="5" s="1"/>
  <c r="C8" i="5"/>
  <c r="F45" i="5"/>
  <c r="F41" i="5" s="1"/>
  <c r="D8" i="5"/>
  <c r="N37" i="5"/>
  <c r="K45" i="5"/>
  <c r="K41" i="5" s="1"/>
  <c r="K65" i="5" s="1"/>
  <c r="G45" i="5"/>
  <c r="G41" i="5" s="1"/>
  <c r="E45" i="5"/>
  <c r="H8" i="5"/>
  <c r="N63" i="5"/>
  <c r="N34" i="5"/>
  <c r="N12" i="5"/>
  <c r="E8" i="5"/>
  <c r="I8" i="5"/>
  <c r="I7" i="5" s="1"/>
  <c r="I40" i="5" s="1"/>
  <c r="J45" i="5"/>
  <c r="J41" i="5" s="1"/>
  <c r="J65" i="5" s="1"/>
  <c r="N31" i="5"/>
  <c r="N52" i="5"/>
  <c r="K8" i="5"/>
  <c r="C45" i="5"/>
  <c r="C41" i="5" s="1"/>
  <c r="N48" i="5"/>
  <c r="N51" i="5"/>
  <c r="I45" i="5"/>
  <c r="I41" i="5" s="1"/>
  <c r="I65" i="5" s="1"/>
  <c r="L45" i="5"/>
  <c r="L41" i="5" s="1"/>
  <c r="L65" i="5" s="1"/>
  <c r="H45" i="5"/>
  <c r="H41" i="5" s="1"/>
  <c r="H65" i="5" s="1"/>
  <c r="D45" i="5"/>
  <c r="D41" i="5" s="1"/>
  <c r="D65" i="5" s="1"/>
  <c r="N13" i="5"/>
  <c r="N10" i="5"/>
  <c r="G8" i="5"/>
  <c r="N9" i="5"/>
  <c r="M8" i="5"/>
  <c r="N55" i="5"/>
  <c r="N28" i="5"/>
  <c r="N11" i="5"/>
  <c r="F8" i="5"/>
  <c r="N42" i="5"/>
  <c r="F61" i="5"/>
  <c r="F59" i="5" s="1"/>
  <c r="N62" i="5"/>
  <c r="B61" i="5"/>
  <c r="B59" i="5" s="1"/>
  <c r="N44" i="5"/>
  <c r="B41" i="5"/>
  <c r="B8" i="5"/>
  <c r="E41" i="5"/>
  <c r="E65" i="5" s="1"/>
  <c r="N47" i="5"/>
  <c r="N16" i="5"/>
  <c r="N54" i="5"/>
  <c r="C61" i="5"/>
  <c r="C59" i="5" s="1"/>
  <c r="N43" i="5"/>
  <c r="N22" i="5"/>
  <c r="N19" i="5" s="1"/>
  <c r="L7" i="5" l="1"/>
  <c r="L40" i="5" s="1"/>
  <c r="L66" i="5" s="1"/>
  <c r="H7" i="5"/>
  <c r="H40" i="5" s="1"/>
  <c r="H66" i="5" s="1"/>
  <c r="D7" i="5"/>
  <c r="D40" i="5" s="1"/>
  <c r="D66" i="5" s="1"/>
  <c r="J7" i="5"/>
  <c r="J40" i="5" s="1"/>
  <c r="J66" i="5" s="1"/>
  <c r="N45" i="5"/>
  <c r="N29" i="5"/>
  <c r="N61" i="5"/>
  <c r="N59" i="5" s="1"/>
  <c r="E7" i="5"/>
  <c r="E40" i="5" s="1"/>
  <c r="E66" i="5" s="1"/>
  <c r="C7" i="5"/>
  <c r="C40" i="5" s="1"/>
  <c r="G65" i="5"/>
  <c r="G7" i="5"/>
  <c r="G40" i="5" s="1"/>
  <c r="N53" i="5"/>
  <c r="N8" i="5"/>
  <c r="K7" i="5"/>
  <c r="K40" i="5" s="1"/>
  <c r="K66" i="5" s="1"/>
  <c r="F7" i="5"/>
  <c r="F40" i="5" s="1"/>
  <c r="M7" i="5"/>
  <c r="M40" i="5" s="1"/>
  <c r="M66" i="5" s="1"/>
  <c r="F65" i="5"/>
  <c r="I66" i="5"/>
  <c r="B65" i="5"/>
  <c r="B7" i="5"/>
  <c r="B40" i="5" s="1"/>
  <c r="C65" i="5"/>
  <c r="N7" i="5" l="1"/>
  <c r="N40" i="5" s="1"/>
  <c r="N41" i="5"/>
  <c r="N65" i="5" s="1"/>
  <c r="C66" i="5"/>
  <c r="G66" i="5"/>
  <c r="F66" i="5"/>
  <c r="B66" i="5"/>
  <c r="B67" i="5" s="1"/>
  <c r="N66" i="5" l="1"/>
  <c r="C67" i="5"/>
  <c r="D67" i="5" s="1"/>
  <c r="E67" i="5" s="1"/>
  <c r="F67" i="5" s="1"/>
  <c r="G67" i="5" s="1"/>
  <c r="H67" i="5" s="1"/>
  <c r="I67" i="5" s="1"/>
  <c r="J67" i="5" s="1"/>
  <c r="K67" i="5" s="1"/>
  <c r="L67" i="5" s="1"/>
  <c r="M67" i="5" s="1"/>
</calcChain>
</file>

<file path=xl/sharedStrings.xml><?xml version="1.0" encoding="utf-8"?>
<sst xmlns="http://schemas.openxmlformats.org/spreadsheetml/2006/main" count="197" uniqueCount="122">
  <si>
    <t>Ssz.</t>
  </si>
  <si>
    <t>Megnevezés</t>
  </si>
  <si>
    <t xml:space="preserve">Kötelező </t>
  </si>
  <si>
    <t xml:space="preserve">Önként vállalt </t>
  </si>
  <si>
    <t>Államigazgatási</t>
  </si>
  <si>
    <t>Összesen</t>
  </si>
  <si>
    <t>KIADÁSOK</t>
  </si>
  <si>
    <t>BEVÉTELEK</t>
  </si>
  <si>
    <t xml:space="preserve">I. </t>
  </si>
  <si>
    <t>KÖLTSÉGVETÉSI BEVÉTELEK</t>
  </si>
  <si>
    <t>1.</t>
  </si>
  <si>
    <t>Önkormányzatok működési támogatásai</t>
  </si>
  <si>
    <t>2.</t>
  </si>
  <si>
    <t>Egyéb működési célú tám. bev. ÁH-n belül</t>
  </si>
  <si>
    <t>- Helyi önk. műk.ált. támogatása</t>
  </si>
  <si>
    <t>- Települési önk. köznev. felad. tám.</t>
  </si>
  <si>
    <t>- Települési önk. szoc. és gyermekj.f.tám.</t>
  </si>
  <si>
    <t>- Települési önk. kulturális felad.tám.</t>
  </si>
  <si>
    <t>- Műk.célú kv-i tám. és kieg.tám.</t>
  </si>
  <si>
    <t>- Elszámolásból származó bevételek</t>
  </si>
  <si>
    <t>- TB pénzügyi alapjaitól</t>
  </si>
  <si>
    <t>3.</t>
  </si>
  <si>
    <t>Közhatalmi bevételek</t>
  </si>
  <si>
    <t>4.</t>
  </si>
  <si>
    <t>Működési bevételek</t>
  </si>
  <si>
    <t>- Bérleti díjak</t>
  </si>
  <si>
    <t>- Önk-i lakások lakbérbevétele</t>
  </si>
  <si>
    <t>- Intézményi ellátási díjak</t>
  </si>
  <si>
    <t>- Kiszámlázott általános forgalmi adó</t>
  </si>
  <si>
    <t>II.</t>
  </si>
  <si>
    <t>5.</t>
  </si>
  <si>
    <t>Felhalmozási bevételek</t>
  </si>
  <si>
    <t>- Ingatlan értékesítése</t>
  </si>
  <si>
    <t>6.</t>
  </si>
  <si>
    <t>Egyéb működési célú átvett pénzeszköz</t>
  </si>
  <si>
    <t>- Műk.célú visszatér. tám. kölcsön háztartások</t>
  </si>
  <si>
    <t>- Központi kv-i szervtől</t>
  </si>
  <si>
    <t>- Iparűzési adó</t>
  </si>
  <si>
    <t>- Gépjárműadó</t>
  </si>
  <si>
    <t>- Adópótlék, bírság bevétel</t>
  </si>
  <si>
    <t>FINANSZÍROZÁSI BEVÉTELEK</t>
  </si>
  <si>
    <t>- Előző év kv-i maradvány igénybevétele</t>
  </si>
  <si>
    <t>BEVÉTELEK ÖSSZESEN</t>
  </si>
  <si>
    <t>I.</t>
  </si>
  <si>
    <t>KÖLTSÉGVETÉSI KIADÁSOK</t>
  </si>
  <si>
    <t>Személyi juttatások</t>
  </si>
  <si>
    <t>Munkaadókat terhelő járulékok</t>
  </si>
  <si>
    <t>Dologi kiadások</t>
  </si>
  <si>
    <t>Ellátottak pénzbeli juttatásai</t>
  </si>
  <si>
    <t>Elvonások és befizetések</t>
  </si>
  <si>
    <t>- Köznevelési int. működtetése</t>
  </si>
  <si>
    <t>- Természetben nyújtott telep.tám.</t>
  </si>
  <si>
    <t>- Egyéb önk-i rend. megáll. juttatás</t>
  </si>
  <si>
    <t>- Települési támogatás</t>
  </si>
  <si>
    <t>- Civil szervezetek támogatása</t>
  </si>
  <si>
    <t>- Tartalék</t>
  </si>
  <si>
    <t>Egyéb működési célú kiadások</t>
  </si>
  <si>
    <t>7.</t>
  </si>
  <si>
    <t>Beruházások</t>
  </si>
  <si>
    <t>8.</t>
  </si>
  <si>
    <t>Felújítások</t>
  </si>
  <si>
    <t>FINANSZÍROZÁSI KIADÁSOK</t>
  </si>
  <si>
    <t>- ÁH-n belüli megelőlegezés visszaf.</t>
  </si>
  <si>
    <t>- Központi, irányító sz. tám.folyós.</t>
  </si>
  <si>
    <t>Csemői Polgármesteri Hivatal</t>
  </si>
  <si>
    <t>- Lekötött bankbetét</t>
  </si>
  <si>
    <t>ÖSSZES KIADÁS</t>
  </si>
  <si>
    <t>- Köztemetés</t>
  </si>
  <si>
    <t>- BURSA, Arany J. Tehetségg. Pr.</t>
  </si>
  <si>
    <t>- Lekötött bankbetétek megszüntetése</t>
  </si>
  <si>
    <t>Költségvetési egyenleg</t>
  </si>
  <si>
    <t>Felhalmozási kiadások</t>
  </si>
  <si>
    <t>Felhalmozási egyenleg</t>
  </si>
  <si>
    <t>Finanszírozási bevételek</t>
  </si>
  <si>
    <t>Finanszírozási kiadások</t>
  </si>
  <si>
    <t>Finanszírozási egyenleg</t>
  </si>
  <si>
    <t>Összesen egyenleg</t>
  </si>
  <si>
    <t>Január</t>
  </si>
  <si>
    <t>Hónapok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</si>
  <si>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</si>
  <si>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</si>
  <si>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</si>
  <si>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</si>
  <si>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</si>
  <si>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</si>
  <si>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</si>
  <si>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</si>
  <si>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</si>
  <si>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</si>
  <si>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</si>
  <si>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HALMOZOTT EGYENLEG</t>
  </si>
  <si>
    <t>BEVÉTELEK-KIADÁSOK EGYENLEGE</t>
  </si>
  <si>
    <t>adatok Ft-ban</t>
  </si>
  <si>
    <t>Engedélyezett létszám:</t>
  </si>
  <si>
    <t>5.sz. melléklet</t>
  </si>
  <si>
    <t>1.sz. melléklet</t>
  </si>
  <si>
    <t>- ebből közfoglalkoztatotti létszám</t>
  </si>
  <si>
    <t>- ebből képviselő és bizottsági tag</t>
  </si>
  <si>
    <t>- Megelőlegezett pályázati kifizetés</t>
  </si>
  <si>
    <t>- Közvetített szolgáltatás bevétele</t>
  </si>
  <si>
    <t>- Visszaigényelt áfa</t>
  </si>
  <si>
    <t>- Közvetített szolgáltatás</t>
  </si>
  <si>
    <t>ebből általános tartalék</t>
  </si>
  <si>
    <t>ebből céltartalék</t>
  </si>
  <si>
    <t>Csemői Nefelejcs Óvoda és Mini Bölcsőde</t>
  </si>
  <si>
    <t>Működési kiadások</t>
  </si>
  <si>
    <t>- Települési gyermekétkeztetési feladatok</t>
  </si>
  <si>
    <t>- Arany J. Tehetségg. Pr.</t>
  </si>
  <si>
    <t>- BURSA</t>
  </si>
  <si>
    <t>- Tulajdonosi bevételek</t>
  </si>
  <si>
    <t>- Támogatási szerződés szerinti fejl. Támogatások</t>
  </si>
  <si>
    <t>- Települési önk. Gyermekétk. Feladatok</t>
  </si>
  <si>
    <t xml:space="preserve">- BURSA </t>
  </si>
  <si>
    <t>8 fő</t>
  </si>
  <si>
    <t>- Működési célú kv-i tám. és kieg.támogatás</t>
  </si>
  <si>
    <t>Csemő Község Önkormányzatának 2023. évi előirányzat felhasználási ütemterve</t>
  </si>
  <si>
    <t>Csemő Község Önkormányzatának 2023. évi költségvetése</t>
  </si>
  <si>
    <t>2022. évi er.előirányzat</t>
  </si>
  <si>
    <t>2023. évi előirányzat</t>
  </si>
  <si>
    <t>- Készletértékesítés</t>
  </si>
  <si>
    <t>32,5 fő</t>
  </si>
  <si>
    <t>17 fő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</si>
</sst>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Ft&quot;_-;\-* #,##0\ &quot;Ft&quot;_-;_-* &quot;-&quot;\ &quot;Ft&quot;_-;_-@_-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i/>
      <sz val="10"/>
      <name val="Calibri"/>
      <family val="2"/>
      <charset val="238"/>
    </font>
    <font>
      <sz val="10"/>
      <name val="Arial"/>
      <family val="2"/>
      <charset val="238"/>
    </font>
    <font>
      <i/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/>
    <xf numFmtId="42" fontId="4" fillId="0" borderId="1" xfId="0" applyNumberFormat="1" applyFont="1" applyBorder="1"/>
    <xf numFmtId="42" fontId="4" fillId="0" borderId="3" xfId="0" applyNumberFormat="1" applyFont="1" applyBorder="1"/>
    <xf numFmtId="0" fontId="3" fillId="0" borderId="2" xfId="0" applyFont="1" applyBorder="1"/>
    <xf numFmtId="49" fontId="3" fillId="0" borderId="1" xfId="0" applyNumberFormat="1" applyFont="1" applyBorder="1"/>
    <xf numFmtId="42" fontId="3" fillId="0" borderId="1" xfId="0" applyNumberFormat="1" applyFont="1" applyBorder="1"/>
    <xf numFmtId="42" fontId="3" fillId="0" borderId="3" xfId="0" applyNumberFormat="1" applyFont="1" applyBorder="1"/>
    <xf numFmtId="49" fontId="4" fillId="0" borderId="1" xfId="0" applyNumberFormat="1" applyFont="1" applyBorder="1"/>
    <xf numFmtId="0" fontId="4" fillId="0" borderId="0" xfId="0" applyFont="1"/>
    <xf numFmtId="49" fontId="3" fillId="0" borderId="0" xfId="0" applyNumberFormat="1" applyFont="1"/>
    <xf numFmtId="42" fontId="3" fillId="0" borderId="0" xfId="0" applyNumberFormat="1" applyFont="1"/>
    <xf numFmtId="49" fontId="3" fillId="0" borderId="1" xfId="0" applyNumberFormat="1" applyFont="1" applyBorder="1" applyAlignment="1">
      <alignment horizontal="right" vertical="center"/>
    </xf>
    <xf numFmtId="0" fontId="3" fillId="0" borderId="1" xfId="0" applyFont="1" applyBorder="1"/>
    <xf numFmtId="49" fontId="3" fillId="0" borderId="4" xfId="0" applyNumberFormat="1" applyFont="1" applyBorder="1"/>
    <xf numFmtId="42" fontId="3" fillId="0" borderId="4" xfId="0" applyNumberFormat="1" applyFont="1" applyBorder="1"/>
    <xf numFmtId="0" fontId="4" fillId="0" borderId="5" xfId="0" applyFont="1" applyBorder="1"/>
    <xf numFmtId="42" fontId="4" fillId="0" borderId="5" xfId="0" applyNumberFormat="1" applyFont="1" applyBorder="1"/>
    <xf numFmtId="0" fontId="3" fillId="0" borderId="4" xfId="0" applyFont="1" applyBorder="1"/>
    <xf numFmtId="0" fontId="2" fillId="0" borderId="5" xfId="0" applyFont="1" applyBorder="1"/>
    <xf numFmtId="0" fontId="2" fillId="0" borderId="1" xfId="0" applyFont="1" applyBorder="1"/>
    <xf numFmtId="49" fontId="5" fillId="0" borderId="1" xfId="0" applyNumberFormat="1" applyFont="1" applyBorder="1"/>
    <xf numFmtId="49" fontId="2" fillId="0" borderId="1" xfId="0" applyNumberFormat="1" applyFont="1" applyBorder="1"/>
    <xf numFmtId="49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0" xfId="0" applyNumberFormat="1" applyFont="1"/>
    <xf numFmtId="42" fontId="5" fillId="0" borderId="0" xfId="0" applyNumberFormat="1" applyFont="1"/>
    <xf numFmtId="42" fontId="5" fillId="0" borderId="1" xfId="0" applyNumberFormat="1" applyFont="1" applyBorder="1"/>
    <xf numFmtId="0" fontId="5" fillId="0" borderId="1" xfId="0" applyFont="1" applyBorder="1"/>
    <xf numFmtId="42" fontId="2" fillId="0" borderId="1" xfId="0" applyNumberFormat="1" applyFont="1" applyBorder="1"/>
    <xf numFmtId="0" fontId="2" fillId="0" borderId="0" xfId="0" applyFont="1"/>
    <xf numFmtId="49" fontId="2" fillId="0" borderId="6" xfId="0" applyNumberFormat="1" applyFont="1" applyBorder="1"/>
    <xf numFmtId="42" fontId="2" fillId="0" borderId="6" xfId="0" applyNumberFormat="1" applyFont="1" applyBorder="1"/>
    <xf numFmtId="42" fontId="2" fillId="0" borderId="5" xfId="0" applyNumberFormat="1" applyFont="1" applyBorder="1"/>
    <xf numFmtId="49" fontId="2" fillId="0" borderId="5" xfId="0" applyNumberFormat="1" applyFont="1" applyBorder="1"/>
    <xf numFmtId="49" fontId="3" fillId="2" borderId="0" xfId="0" applyNumberFormat="1" applyFont="1" applyFill="1"/>
    <xf numFmtId="42" fontId="4" fillId="0" borderId="7" xfId="0" applyNumberFormat="1" applyFont="1" applyBorder="1"/>
    <xf numFmtId="49" fontId="8" fillId="0" borderId="1" xfId="0" applyNumberFormat="1" applyFont="1" applyBorder="1" applyAlignment="1">
      <alignment horizontal="right"/>
    </xf>
    <xf numFmtId="42" fontId="8" fillId="0" borderId="1" xfId="0" applyNumberFormat="1" applyFont="1" applyBorder="1"/>
    <xf numFmtId="42" fontId="3" fillId="0" borderId="7" xfId="0" applyNumberFormat="1" applyFont="1" applyBorder="1"/>
    <xf numFmtId="0" fontId="3" fillId="0" borderId="1" xfId="0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42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42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0" fillId="0" borderId="8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opLeftCell="C1" workbookViewId="0">
      <selection activeCell="K10" sqref="K10"/>
    </sheetView>
  </sheetViews>
  <sheetFormatPr defaultColWidth="9.109375" defaultRowHeight="13.8" x14ac:dyDescent="0.3"/>
  <cols>
    <col min="1" max="1" width="4.44140625" style="1" customWidth="1"/>
    <col min="2" max="2" width="39.109375" style="1" customWidth="1"/>
    <col min="3" max="3" width="18.44140625" style="12" customWidth="1"/>
    <col min="4" max="4" width="15.33203125" style="12" customWidth="1"/>
    <col min="5" max="5" width="15.5546875" style="12" customWidth="1"/>
    <col min="6" max="6" width="13.6640625" style="12" customWidth="1"/>
    <col min="7" max="7" width="14.5546875" style="12" customWidth="1"/>
    <col min="8" max="8" width="4.6640625" style="1" customWidth="1"/>
    <col min="9" max="9" width="34" style="1" customWidth="1"/>
    <col min="10" max="10" width="19.109375" style="1" customWidth="1"/>
    <col min="11" max="11" width="14.33203125" style="1" customWidth="1"/>
    <col min="12" max="12" width="15.44140625" style="1" customWidth="1"/>
    <col min="13" max="13" width="13.6640625" style="1" customWidth="1"/>
    <col min="14" max="14" width="14.109375" style="1" customWidth="1"/>
    <col min="15" max="256" width="9.109375" style="1"/>
    <col min="257" max="257" width="4.44140625" style="1" customWidth="1"/>
    <col min="258" max="258" width="39.109375" style="1" customWidth="1"/>
    <col min="259" max="259" width="18.44140625" style="1" customWidth="1"/>
    <col min="260" max="260" width="15.33203125" style="1" customWidth="1"/>
    <col min="261" max="261" width="15.5546875" style="1" customWidth="1"/>
    <col min="262" max="262" width="13.6640625" style="1" customWidth="1"/>
    <col min="263" max="263" width="14.5546875" style="1" customWidth="1"/>
    <col min="264" max="264" width="4.6640625" style="1" customWidth="1"/>
    <col min="265" max="265" width="34" style="1" customWidth="1"/>
    <col min="266" max="266" width="19.109375" style="1" customWidth="1"/>
    <col min="267" max="267" width="14.33203125" style="1" customWidth="1"/>
    <col min="268" max="268" width="15.44140625" style="1" customWidth="1"/>
    <col min="269" max="269" width="13.6640625" style="1" customWidth="1"/>
    <col min="270" max="270" width="14.109375" style="1" customWidth="1"/>
    <col min="271" max="512" width="9.109375" style="1"/>
    <col min="513" max="513" width="4.44140625" style="1" customWidth="1"/>
    <col min="514" max="514" width="39.109375" style="1" customWidth="1"/>
    <col min="515" max="515" width="18.44140625" style="1" customWidth="1"/>
    <col min="516" max="516" width="15.33203125" style="1" customWidth="1"/>
    <col min="517" max="517" width="15.5546875" style="1" customWidth="1"/>
    <col min="518" max="518" width="13.6640625" style="1" customWidth="1"/>
    <col min="519" max="519" width="14.5546875" style="1" customWidth="1"/>
    <col min="520" max="520" width="4.6640625" style="1" customWidth="1"/>
    <col min="521" max="521" width="34" style="1" customWidth="1"/>
    <col min="522" max="522" width="19.109375" style="1" customWidth="1"/>
    <col min="523" max="523" width="14.33203125" style="1" customWidth="1"/>
    <col min="524" max="524" width="15.44140625" style="1" customWidth="1"/>
    <col min="525" max="525" width="13.6640625" style="1" customWidth="1"/>
    <col min="526" max="526" width="14.109375" style="1" customWidth="1"/>
    <col min="527" max="768" width="9.109375" style="1"/>
    <col min="769" max="769" width="4.44140625" style="1" customWidth="1"/>
    <col min="770" max="770" width="39.109375" style="1" customWidth="1"/>
    <col min="771" max="771" width="18.44140625" style="1" customWidth="1"/>
    <col min="772" max="772" width="15.33203125" style="1" customWidth="1"/>
    <col min="773" max="773" width="15.5546875" style="1" customWidth="1"/>
    <col min="774" max="774" width="13.6640625" style="1" customWidth="1"/>
    <col min="775" max="775" width="14.5546875" style="1" customWidth="1"/>
    <col min="776" max="776" width="4.6640625" style="1" customWidth="1"/>
    <col min="777" max="777" width="34" style="1" customWidth="1"/>
    <col min="778" max="778" width="19.109375" style="1" customWidth="1"/>
    <col min="779" max="779" width="14.33203125" style="1" customWidth="1"/>
    <col min="780" max="780" width="15.44140625" style="1" customWidth="1"/>
    <col min="781" max="781" width="13.6640625" style="1" customWidth="1"/>
    <col min="782" max="782" width="14.109375" style="1" customWidth="1"/>
    <col min="783" max="1024" width="9.109375" style="1"/>
    <col min="1025" max="1025" width="4.44140625" style="1" customWidth="1"/>
    <col min="1026" max="1026" width="39.109375" style="1" customWidth="1"/>
    <col min="1027" max="1027" width="18.44140625" style="1" customWidth="1"/>
    <col min="1028" max="1028" width="15.33203125" style="1" customWidth="1"/>
    <col min="1029" max="1029" width="15.5546875" style="1" customWidth="1"/>
    <col min="1030" max="1030" width="13.6640625" style="1" customWidth="1"/>
    <col min="1031" max="1031" width="14.5546875" style="1" customWidth="1"/>
    <col min="1032" max="1032" width="4.6640625" style="1" customWidth="1"/>
    <col min="1033" max="1033" width="34" style="1" customWidth="1"/>
    <col min="1034" max="1034" width="19.109375" style="1" customWidth="1"/>
    <col min="1035" max="1035" width="14.33203125" style="1" customWidth="1"/>
    <col min="1036" max="1036" width="15.44140625" style="1" customWidth="1"/>
    <col min="1037" max="1037" width="13.6640625" style="1" customWidth="1"/>
    <col min="1038" max="1038" width="14.109375" style="1" customWidth="1"/>
    <col min="1039" max="1280" width="9.109375" style="1"/>
    <col min="1281" max="1281" width="4.44140625" style="1" customWidth="1"/>
    <col min="1282" max="1282" width="39.109375" style="1" customWidth="1"/>
    <col min="1283" max="1283" width="18.44140625" style="1" customWidth="1"/>
    <col min="1284" max="1284" width="15.33203125" style="1" customWidth="1"/>
    <col min="1285" max="1285" width="15.5546875" style="1" customWidth="1"/>
    <col min="1286" max="1286" width="13.6640625" style="1" customWidth="1"/>
    <col min="1287" max="1287" width="14.5546875" style="1" customWidth="1"/>
    <col min="1288" max="1288" width="4.6640625" style="1" customWidth="1"/>
    <col min="1289" max="1289" width="34" style="1" customWidth="1"/>
    <col min="1290" max="1290" width="19.109375" style="1" customWidth="1"/>
    <col min="1291" max="1291" width="14.33203125" style="1" customWidth="1"/>
    <col min="1292" max="1292" width="15.44140625" style="1" customWidth="1"/>
    <col min="1293" max="1293" width="13.6640625" style="1" customWidth="1"/>
    <col min="1294" max="1294" width="14.109375" style="1" customWidth="1"/>
    <col min="1295" max="1536" width="9.109375" style="1"/>
    <col min="1537" max="1537" width="4.44140625" style="1" customWidth="1"/>
    <col min="1538" max="1538" width="39.109375" style="1" customWidth="1"/>
    <col min="1539" max="1539" width="18.44140625" style="1" customWidth="1"/>
    <col min="1540" max="1540" width="15.33203125" style="1" customWidth="1"/>
    <col min="1541" max="1541" width="15.5546875" style="1" customWidth="1"/>
    <col min="1542" max="1542" width="13.6640625" style="1" customWidth="1"/>
    <col min="1543" max="1543" width="14.5546875" style="1" customWidth="1"/>
    <col min="1544" max="1544" width="4.6640625" style="1" customWidth="1"/>
    <col min="1545" max="1545" width="34" style="1" customWidth="1"/>
    <col min="1546" max="1546" width="19.109375" style="1" customWidth="1"/>
    <col min="1547" max="1547" width="14.33203125" style="1" customWidth="1"/>
    <col min="1548" max="1548" width="15.44140625" style="1" customWidth="1"/>
    <col min="1549" max="1549" width="13.6640625" style="1" customWidth="1"/>
    <col min="1550" max="1550" width="14.109375" style="1" customWidth="1"/>
    <col min="1551" max="1792" width="9.109375" style="1"/>
    <col min="1793" max="1793" width="4.44140625" style="1" customWidth="1"/>
    <col min="1794" max="1794" width="39.109375" style="1" customWidth="1"/>
    <col min="1795" max="1795" width="18.44140625" style="1" customWidth="1"/>
    <col min="1796" max="1796" width="15.33203125" style="1" customWidth="1"/>
    <col min="1797" max="1797" width="15.5546875" style="1" customWidth="1"/>
    <col min="1798" max="1798" width="13.6640625" style="1" customWidth="1"/>
    <col min="1799" max="1799" width="14.5546875" style="1" customWidth="1"/>
    <col min="1800" max="1800" width="4.6640625" style="1" customWidth="1"/>
    <col min="1801" max="1801" width="34" style="1" customWidth="1"/>
    <col min="1802" max="1802" width="19.109375" style="1" customWidth="1"/>
    <col min="1803" max="1803" width="14.33203125" style="1" customWidth="1"/>
    <col min="1804" max="1804" width="15.44140625" style="1" customWidth="1"/>
    <col min="1805" max="1805" width="13.6640625" style="1" customWidth="1"/>
    <col min="1806" max="1806" width="14.109375" style="1" customWidth="1"/>
    <col min="1807" max="2048" width="9.109375" style="1"/>
    <col min="2049" max="2049" width="4.44140625" style="1" customWidth="1"/>
    <col min="2050" max="2050" width="39.109375" style="1" customWidth="1"/>
    <col min="2051" max="2051" width="18.44140625" style="1" customWidth="1"/>
    <col min="2052" max="2052" width="15.33203125" style="1" customWidth="1"/>
    <col min="2053" max="2053" width="15.5546875" style="1" customWidth="1"/>
    <col min="2054" max="2054" width="13.6640625" style="1" customWidth="1"/>
    <col min="2055" max="2055" width="14.5546875" style="1" customWidth="1"/>
    <col min="2056" max="2056" width="4.6640625" style="1" customWidth="1"/>
    <col min="2057" max="2057" width="34" style="1" customWidth="1"/>
    <col min="2058" max="2058" width="19.109375" style="1" customWidth="1"/>
    <col min="2059" max="2059" width="14.33203125" style="1" customWidth="1"/>
    <col min="2060" max="2060" width="15.44140625" style="1" customWidth="1"/>
    <col min="2061" max="2061" width="13.6640625" style="1" customWidth="1"/>
    <col min="2062" max="2062" width="14.109375" style="1" customWidth="1"/>
    <col min="2063" max="2304" width="9.109375" style="1"/>
    <col min="2305" max="2305" width="4.44140625" style="1" customWidth="1"/>
    <col min="2306" max="2306" width="39.109375" style="1" customWidth="1"/>
    <col min="2307" max="2307" width="18.44140625" style="1" customWidth="1"/>
    <col min="2308" max="2308" width="15.33203125" style="1" customWidth="1"/>
    <col min="2309" max="2309" width="15.5546875" style="1" customWidth="1"/>
    <col min="2310" max="2310" width="13.6640625" style="1" customWidth="1"/>
    <col min="2311" max="2311" width="14.5546875" style="1" customWidth="1"/>
    <col min="2312" max="2312" width="4.6640625" style="1" customWidth="1"/>
    <col min="2313" max="2313" width="34" style="1" customWidth="1"/>
    <col min="2314" max="2314" width="19.109375" style="1" customWidth="1"/>
    <col min="2315" max="2315" width="14.33203125" style="1" customWidth="1"/>
    <col min="2316" max="2316" width="15.44140625" style="1" customWidth="1"/>
    <col min="2317" max="2317" width="13.6640625" style="1" customWidth="1"/>
    <col min="2318" max="2318" width="14.109375" style="1" customWidth="1"/>
    <col min="2319" max="2560" width="9.109375" style="1"/>
    <col min="2561" max="2561" width="4.44140625" style="1" customWidth="1"/>
    <col min="2562" max="2562" width="39.109375" style="1" customWidth="1"/>
    <col min="2563" max="2563" width="18.44140625" style="1" customWidth="1"/>
    <col min="2564" max="2564" width="15.33203125" style="1" customWidth="1"/>
    <col min="2565" max="2565" width="15.5546875" style="1" customWidth="1"/>
    <col min="2566" max="2566" width="13.6640625" style="1" customWidth="1"/>
    <col min="2567" max="2567" width="14.5546875" style="1" customWidth="1"/>
    <col min="2568" max="2568" width="4.6640625" style="1" customWidth="1"/>
    <col min="2569" max="2569" width="34" style="1" customWidth="1"/>
    <col min="2570" max="2570" width="19.109375" style="1" customWidth="1"/>
    <col min="2571" max="2571" width="14.33203125" style="1" customWidth="1"/>
    <col min="2572" max="2572" width="15.44140625" style="1" customWidth="1"/>
    <col min="2573" max="2573" width="13.6640625" style="1" customWidth="1"/>
    <col min="2574" max="2574" width="14.109375" style="1" customWidth="1"/>
    <col min="2575" max="2816" width="9.109375" style="1"/>
    <col min="2817" max="2817" width="4.44140625" style="1" customWidth="1"/>
    <col min="2818" max="2818" width="39.109375" style="1" customWidth="1"/>
    <col min="2819" max="2819" width="18.44140625" style="1" customWidth="1"/>
    <col min="2820" max="2820" width="15.33203125" style="1" customWidth="1"/>
    <col min="2821" max="2821" width="15.5546875" style="1" customWidth="1"/>
    <col min="2822" max="2822" width="13.6640625" style="1" customWidth="1"/>
    <col min="2823" max="2823" width="14.5546875" style="1" customWidth="1"/>
    <col min="2824" max="2824" width="4.6640625" style="1" customWidth="1"/>
    <col min="2825" max="2825" width="34" style="1" customWidth="1"/>
    <col min="2826" max="2826" width="19.109375" style="1" customWidth="1"/>
    <col min="2827" max="2827" width="14.33203125" style="1" customWidth="1"/>
    <col min="2828" max="2828" width="15.44140625" style="1" customWidth="1"/>
    <col min="2829" max="2829" width="13.6640625" style="1" customWidth="1"/>
    <col min="2830" max="2830" width="14.109375" style="1" customWidth="1"/>
    <col min="2831" max="3072" width="9.109375" style="1"/>
    <col min="3073" max="3073" width="4.44140625" style="1" customWidth="1"/>
    <col min="3074" max="3074" width="39.109375" style="1" customWidth="1"/>
    <col min="3075" max="3075" width="18.44140625" style="1" customWidth="1"/>
    <col min="3076" max="3076" width="15.33203125" style="1" customWidth="1"/>
    <col min="3077" max="3077" width="15.5546875" style="1" customWidth="1"/>
    <col min="3078" max="3078" width="13.6640625" style="1" customWidth="1"/>
    <col min="3079" max="3079" width="14.5546875" style="1" customWidth="1"/>
    <col min="3080" max="3080" width="4.6640625" style="1" customWidth="1"/>
    <col min="3081" max="3081" width="34" style="1" customWidth="1"/>
    <col min="3082" max="3082" width="19.109375" style="1" customWidth="1"/>
    <col min="3083" max="3083" width="14.33203125" style="1" customWidth="1"/>
    <col min="3084" max="3084" width="15.44140625" style="1" customWidth="1"/>
    <col min="3085" max="3085" width="13.6640625" style="1" customWidth="1"/>
    <col min="3086" max="3086" width="14.109375" style="1" customWidth="1"/>
    <col min="3087" max="3328" width="9.109375" style="1"/>
    <col min="3329" max="3329" width="4.44140625" style="1" customWidth="1"/>
    <col min="3330" max="3330" width="39.109375" style="1" customWidth="1"/>
    <col min="3331" max="3331" width="18.44140625" style="1" customWidth="1"/>
    <col min="3332" max="3332" width="15.33203125" style="1" customWidth="1"/>
    <col min="3333" max="3333" width="15.5546875" style="1" customWidth="1"/>
    <col min="3334" max="3334" width="13.6640625" style="1" customWidth="1"/>
    <col min="3335" max="3335" width="14.5546875" style="1" customWidth="1"/>
    <col min="3336" max="3336" width="4.6640625" style="1" customWidth="1"/>
    <col min="3337" max="3337" width="34" style="1" customWidth="1"/>
    <col min="3338" max="3338" width="19.109375" style="1" customWidth="1"/>
    <col min="3339" max="3339" width="14.33203125" style="1" customWidth="1"/>
    <col min="3340" max="3340" width="15.44140625" style="1" customWidth="1"/>
    <col min="3341" max="3341" width="13.6640625" style="1" customWidth="1"/>
    <col min="3342" max="3342" width="14.109375" style="1" customWidth="1"/>
    <col min="3343" max="3584" width="9.109375" style="1"/>
    <col min="3585" max="3585" width="4.44140625" style="1" customWidth="1"/>
    <col min="3586" max="3586" width="39.109375" style="1" customWidth="1"/>
    <col min="3587" max="3587" width="18.44140625" style="1" customWidth="1"/>
    <col min="3588" max="3588" width="15.33203125" style="1" customWidth="1"/>
    <col min="3589" max="3589" width="15.5546875" style="1" customWidth="1"/>
    <col min="3590" max="3590" width="13.6640625" style="1" customWidth="1"/>
    <col min="3591" max="3591" width="14.5546875" style="1" customWidth="1"/>
    <col min="3592" max="3592" width="4.6640625" style="1" customWidth="1"/>
    <col min="3593" max="3593" width="34" style="1" customWidth="1"/>
    <col min="3594" max="3594" width="19.109375" style="1" customWidth="1"/>
    <col min="3595" max="3595" width="14.33203125" style="1" customWidth="1"/>
    <col min="3596" max="3596" width="15.44140625" style="1" customWidth="1"/>
    <col min="3597" max="3597" width="13.6640625" style="1" customWidth="1"/>
    <col min="3598" max="3598" width="14.109375" style="1" customWidth="1"/>
    <col min="3599" max="3840" width="9.109375" style="1"/>
    <col min="3841" max="3841" width="4.44140625" style="1" customWidth="1"/>
    <col min="3842" max="3842" width="39.109375" style="1" customWidth="1"/>
    <col min="3843" max="3843" width="18.44140625" style="1" customWidth="1"/>
    <col min="3844" max="3844" width="15.33203125" style="1" customWidth="1"/>
    <col min="3845" max="3845" width="15.5546875" style="1" customWidth="1"/>
    <col min="3846" max="3846" width="13.6640625" style="1" customWidth="1"/>
    <col min="3847" max="3847" width="14.5546875" style="1" customWidth="1"/>
    <col min="3848" max="3848" width="4.6640625" style="1" customWidth="1"/>
    <col min="3849" max="3849" width="34" style="1" customWidth="1"/>
    <col min="3850" max="3850" width="19.109375" style="1" customWidth="1"/>
    <col min="3851" max="3851" width="14.33203125" style="1" customWidth="1"/>
    <col min="3852" max="3852" width="15.44140625" style="1" customWidth="1"/>
    <col min="3853" max="3853" width="13.6640625" style="1" customWidth="1"/>
    <col min="3854" max="3854" width="14.109375" style="1" customWidth="1"/>
    <col min="3855" max="4096" width="9.109375" style="1"/>
    <col min="4097" max="4097" width="4.44140625" style="1" customWidth="1"/>
    <col min="4098" max="4098" width="39.109375" style="1" customWidth="1"/>
    <col min="4099" max="4099" width="18.44140625" style="1" customWidth="1"/>
    <col min="4100" max="4100" width="15.33203125" style="1" customWidth="1"/>
    <col min="4101" max="4101" width="15.5546875" style="1" customWidth="1"/>
    <col min="4102" max="4102" width="13.6640625" style="1" customWidth="1"/>
    <col min="4103" max="4103" width="14.5546875" style="1" customWidth="1"/>
    <col min="4104" max="4104" width="4.6640625" style="1" customWidth="1"/>
    <col min="4105" max="4105" width="34" style="1" customWidth="1"/>
    <col min="4106" max="4106" width="19.109375" style="1" customWidth="1"/>
    <col min="4107" max="4107" width="14.33203125" style="1" customWidth="1"/>
    <col min="4108" max="4108" width="15.44140625" style="1" customWidth="1"/>
    <col min="4109" max="4109" width="13.6640625" style="1" customWidth="1"/>
    <col min="4110" max="4110" width="14.109375" style="1" customWidth="1"/>
    <col min="4111" max="4352" width="9.109375" style="1"/>
    <col min="4353" max="4353" width="4.44140625" style="1" customWidth="1"/>
    <col min="4354" max="4354" width="39.109375" style="1" customWidth="1"/>
    <col min="4355" max="4355" width="18.44140625" style="1" customWidth="1"/>
    <col min="4356" max="4356" width="15.33203125" style="1" customWidth="1"/>
    <col min="4357" max="4357" width="15.5546875" style="1" customWidth="1"/>
    <col min="4358" max="4358" width="13.6640625" style="1" customWidth="1"/>
    <col min="4359" max="4359" width="14.5546875" style="1" customWidth="1"/>
    <col min="4360" max="4360" width="4.6640625" style="1" customWidth="1"/>
    <col min="4361" max="4361" width="34" style="1" customWidth="1"/>
    <col min="4362" max="4362" width="19.109375" style="1" customWidth="1"/>
    <col min="4363" max="4363" width="14.33203125" style="1" customWidth="1"/>
    <col min="4364" max="4364" width="15.44140625" style="1" customWidth="1"/>
    <col min="4365" max="4365" width="13.6640625" style="1" customWidth="1"/>
    <col min="4366" max="4366" width="14.109375" style="1" customWidth="1"/>
    <col min="4367" max="4608" width="9.109375" style="1"/>
    <col min="4609" max="4609" width="4.44140625" style="1" customWidth="1"/>
    <col min="4610" max="4610" width="39.109375" style="1" customWidth="1"/>
    <col min="4611" max="4611" width="18.44140625" style="1" customWidth="1"/>
    <col min="4612" max="4612" width="15.33203125" style="1" customWidth="1"/>
    <col min="4613" max="4613" width="15.5546875" style="1" customWidth="1"/>
    <col min="4614" max="4614" width="13.6640625" style="1" customWidth="1"/>
    <col min="4615" max="4615" width="14.5546875" style="1" customWidth="1"/>
    <col min="4616" max="4616" width="4.6640625" style="1" customWidth="1"/>
    <col min="4617" max="4617" width="34" style="1" customWidth="1"/>
    <col min="4618" max="4618" width="19.109375" style="1" customWidth="1"/>
    <col min="4619" max="4619" width="14.33203125" style="1" customWidth="1"/>
    <col min="4620" max="4620" width="15.44140625" style="1" customWidth="1"/>
    <col min="4621" max="4621" width="13.6640625" style="1" customWidth="1"/>
    <col min="4622" max="4622" width="14.109375" style="1" customWidth="1"/>
    <col min="4623" max="4864" width="9.109375" style="1"/>
    <col min="4865" max="4865" width="4.44140625" style="1" customWidth="1"/>
    <col min="4866" max="4866" width="39.109375" style="1" customWidth="1"/>
    <col min="4867" max="4867" width="18.44140625" style="1" customWidth="1"/>
    <col min="4868" max="4868" width="15.33203125" style="1" customWidth="1"/>
    <col min="4869" max="4869" width="15.5546875" style="1" customWidth="1"/>
    <col min="4870" max="4870" width="13.6640625" style="1" customWidth="1"/>
    <col min="4871" max="4871" width="14.5546875" style="1" customWidth="1"/>
    <col min="4872" max="4872" width="4.6640625" style="1" customWidth="1"/>
    <col min="4873" max="4873" width="34" style="1" customWidth="1"/>
    <col min="4874" max="4874" width="19.109375" style="1" customWidth="1"/>
    <col min="4875" max="4875" width="14.33203125" style="1" customWidth="1"/>
    <col min="4876" max="4876" width="15.44140625" style="1" customWidth="1"/>
    <col min="4877" max="4877" width="13.6640625" style="1" customWidth="1"/>
    <col min="4878" max="4878" width="14.109375" style="1" customWidth="1"/>
    <col min="4879" max="5120" width="9.109375" style="1"/>
    <col min="5121" max="5121" width="4.44140625" style="1" customWidth="1"/>
    <col min="5122" max="5122" width="39.109375" style="1" customWidth="1"/>
    <col min="5123" max="5123" width="18.44140625" style="1" customWidth="1"/>
    <col min="5124" max="5124" width="15.33203125" style="1" customWidth="1"/>
    <col min="5125" max="5125" width="15.5546875" style="1" customWidth="1"/>
    <col min="5126" max="5126" width="13.6640625" style="1" customWidth="1"/>
    <col min="5127" max="5127" width="14.5546875" style="1" customWidth="1"/>
    <col min="5128" max="5128" width="4.6640625" style="1" customWidth="1"/>
    <col min="5129" max="5129" width="34" style="1" customWidth="1"/>
    <col min="5130" max="5130" width="19.109375" style="1" customWidth="1"/>
    <col min="5131" max="5131" width="14.33203125" style="1" customWidth="1"/>
    <col min="5132" max="5132" width="15.44140625" style="1" customWidth="1"/>
    <col min="5133" max="5133" width="13.6640625" style="1" customWidth="1"/>
    <col min="5134" max="5134" width="14.109375" style="1" customWidth="1"/>
    <col min="5135" max="5376" width="9.109375" style="1"/>
    <col min="5377" max="5377" width="4.44140625" style="1" customWidth="1"/>
    <col min="5378" max="5378" width="39.109375" style="1" customWidth="1"/>
    <col min="5379" max="5379" width="18.44140625" style="1" customWidth="1"/>
    <col min="5380" max="5380" width="15.33203125" style="1" customWidth="1"/>
    <col min="5381" max="5381" width="15.5546875" style="1" customWidth="1"/>
    <col min="5382" max="5382" width="13.6640625" style="1" customWidth="1"/>
    <col min="5383" max="5383" width="14.5546875" style="1" customWidth="1"/>
    <col min="5384" max="5384" width="4.6640625" style="1" customWidth="1"/>
    <col min="5385" max="5385" width="34" style="1" customWidth="1"/>
    <col min="5386" max="5386" width="19.109375" style="1" customWidth="1"/>
    <col min="5387" max="5387" width="14.33203125" style="1" customWidth="1"/>
    <col min="5388" max="5388" width="15.44140625" style="1" customWidth="1"/>
    <col min="5389" max="5389" width="13.6640625" style="1" customWidth="1"/>
    <col min="5390" max="5390" width="14.109375" style="1" customWidth="1"/>
    <col min="5391" max="5632" width="9.109375" style="1"/>
    <col min="5633" max="5633" width="4.44140625" style="1" customWidth="1"/>
    <col min="5634" max="5634" width="39.109375" style="1" customWidth="1"/>
    <col min="5635" max="5635" width="18.44140625" style="1" customWidth="1"/>
    <col min="5636" max="5636" width="15.33203125" style="1" customWidth="1"/>
    <col min="5637" max="5637" width="15.5546875" style="1" customWidth="1"/>
    <col min="5638" max="5638" width="13.6640625" style="1" customWidth="1"/>
    <col min="5639" max="5639" width="14.5546875" style="1" customWidth="1"/>
    <col min="5640" max="5640" width="4.6640625" style="1" customWidth="1"/>
    <col min="5641" max="5641" width="34" style="1" customWidth="1"/>
    <col min="5642" max="5642" width="19.109375" style="1" customWidth="1"/>
    <col min="5643" max="5643" width="14.33203125" style="1" customWidth="1"/>
    <col min="5644" max="5644" width="15.44140625" style="1" customWidth="1"/>
    <col min="5645" max="5645" width="13.6640625" style="1" customWidth="1"/>
    <col min="5646" max="5646" width="14.109375" style="1" customWidth="1"/>
    <col min="5647" max="5888" width="9.109375" style="1"/>
    <col min="5889" max="5889" width="4.44140625" style="1" customWidth="1"/>
    <col min="5890" max="5890" width="39.109375" style="1" customWidth="1"/>
    <col min="5891" max="5891" width="18.44140625" style="1" customWidth="1"/>
    <col min="5892" max="5892" width="15.33203125" style="1" customWidth="1"/>
    <col min="5893" max="5893" width="15.5546875" style="1" customWidth="1"/>
    <col min="5894" max="5894" width="13.6640625" style="1" customWidth="1"/>
    <col min="5895" max="5895" width="14.5546875" style="1" customWidth="1"/>
    <col min="5896" max="5896" width="4.6640625" style="1" customWidth="1"/>
    <col min="5897" max="5897" width="34" style="1" customWidth="1"/>
    <col min="5898" max="5898" width="19.109375" style="1" customWidth="1"/>
    <col min="5899" max="5899" width="14.33203125" style="1" customWidth="1"/>
    <col min="5900" max="5900" width="15.44140625" style="1" customWidth="1"/>
    <col min="5901" max="5901" width="13.6640625" style="1" customWidth="1"/>
    <col min="5902" max="5902" width="14.109375" style="1" customWidth="1"/>
    <col min="5903" max="6144" width="9.109375" style="1"/>
    <col min="6145" max="6145" width="4.44140625" style="1" customWidth="1"/>
    <col min="6146" max="6146" width="39.109375" style="1" customWidth="1"/>
    <col min="6147" max="6147" width="18.44140625" style="1" customWidth="1"/>
    <col min="6148" max="6148" width="15.33203125" style="1" customWidth="1"/>
    <col min="6149" max="6149" width="15.5546875" style="1" customWidth="1"/>
    <col min="6150" max="6150" width="13.6640625" style="1" customWidth="1"/>
    <col min="6151" max="6151" width="14.5546875" style="1" customWidth="1"/>
    <col min="6152" max="6152" width="4.6640625" style="1" customWidth="1"/>
    <col min="6153" max="6153" width="34" style="1" customWidth="1"/>
    <col min="6154" max="6154" width="19.109375" style="1" customWidth="1"/>
    <col min="6155" max="6155" width="14.33203125" style="1" customWidth="1"/>
    <col min="6156" max="6156" width="15.44140625" style="1" customWidth="1"/>
    <col min="6157" max="6157" width="13.6640625" style="1" customWidth="1"/>
    <col min="6158" max="6158" width="14.109375" style="1" customWidth="1"/>
    <col min="6159" max="6400" width="9.109375" style="1"/>
    <col min="6401" max="6401" width="4.44140625" style="1" customWidth="1"/>
    <col min="6402" max="6402" width="39.109375" style="1" customWidth="1"/>
    <col min="6403" max="6403" width="18.44140625" style="1" customWidth="1"/>
    <col min="6404" max="6404" width="15.33203125" style="1" customWidth="1"/>
    <col min="6405" max="6405" width="15.5546875" style="1" customWidth="1"/>
    <col min="6406" max="6406" width="13.6640625" style="1" customWidth="1"/>
    <col min="6407" max="6407" width="14.5546875" style="1" customWidth="1"/>
    <col min="6408" max="6408" width="4.6640625" style="1" customWidth="1"/>
    <col min="6409" max="6409" width="34" style="1" customWidth="1"/>
    <col min="6410" max="6410" width="19.109375" style="1" customWidth="1"/>
    <col min="6411" max="6411" width="14.33203125" style="1" customWidth="1"/>
    <col min="6412" max="6412" width="15.44140625" style="1" customWidth="1"/>
    <col min="6413" max="6413" width="13.6640625" style="1" customWidth="1"/>
    <col min="6414" max="6414" width="14.109375" style="1" customWidth="1"/>
    <col min="6415" max="6656" width="9.109375" style="1"/>
    <col min="6657" max="6657" width="4.44140625" style="1" customWidth="1"/>
    <col min="6658" max="6658" width="39.109375" style="1" customWidth="1"/>
    <col min="6659" max="6659" width="18.44140625" style="1" customWidth="1"/>
    <col min="6660" max="6660" width="15.33203125" style="1" customWidth="1"/>
    <col min="6661" max="6661" width="15.5546875" style="1" customWidth="1"/>
    <col min="6662" max="6662" width="13.6640625" style="1" customWidth="1"/>
    <col min="6663" max="6663" width="14.5546875" style="1" customWidth="1"/>
    <col min="6664" max="6664" width="4.6640625" style="1" customWidth="1"/>
    <col min="6665" max="6665" width="34" style="1" customWidth="1"/>
    <col min="6666" max="6666" width="19.109375" style="1" customWidth="1"/>
    <col min="6667" max="6667" width="14.33203125" style="1" customWidth="1"/>
    <col min="6668" max="6668" width="15.44140625" style="1" customWidth="1"/>
    <col min="6669" max="6669" width="13.6640625" style="1" customWidth="1"/>
    <col min="6670" max="6670" width="14.109375" style="1" customWidth="1"/>
    <col min="6671" max="6912" width="9.109375" style="1"/>
    <col min="6913" max="6913" width="4.44140625" style="1" customWidth="1"/>
    <col min="6914" max="6914" width="39.109375" style="1" customWidth="1"/>
    <col min="6915" max="6915" width="18.44140625" style="1" customWidth="1"/>
    <col min="6916" max="6916" width="15.33203125" style="1" customWidth="1"/>
    <col min="6917" max="6917" width="15.5546875" style="1" customWidth="1"/>
    <col min="6918" max="6918" width="13.6640625" style="1" customWidth="1"/>
    <col min="6919" max="6919" width="14.5546875" style="1" customWidth="1"/>
    <col min="6920" max="6920" width="4.6640625" style="1" customWidth="1"/>
    <col min="6921" max="6921" width="34" style="1" customWidth="1"/>
    <col min="6922" max="6922" width="19.109375" style="1" customWidth="1"/>
    <col min="6923" max="6923" width="14.33203125" style="1" customWidth="1"/>
    <col min="6924" max="6924" width="15.44140625" style="1" customWidth="1"/>
    <col min="6925" max="6925" width="13.6640625" style="1" customWidth="1"/>
    <col min="6926" max="6926" width="14.109375" style="1" customWidth="1"/>
    <col min="6927" max="7168" width="9.109375" style="1"/>
    <col min="7169" max="7169" width="4.44140625" style="1" customWidth="1"/>
    <col min="7170" max="7170" width="39.109375" style="1" customWidth="1"/>
    <col min="7171" max="7171" width="18.44140625" style="1" customWidth="1"/>
    <col min="7172" max="7172" width="15.33203125" style="1" customWidth="1"/>
    <col min="7173" max="7173" width="15.5546875" style="1" customWidth="1"/>
    <col min="7174" max="7174" width="13.6640625" style="1" customWidth="1"/>
    <col min="7175" max="7175" width="14.5546875" style="1" customWidth="1"/>
    <col min="7176" max="7176" width="4.6640625" style="1" customWidth="1"/>
    <col min="7177" max="7177" width="34" style="1" customWidth="1"/>
    <col min="7178" max="7178" width="19.109375" style="1" customWidth="1"/>
    <col min="7179" max="7179" width="14.33203125" style="1" customWidth="1"/>
    <col min="7180" max="7180" width="15.44140625" style="1" customWidth="1"/>
    <col min="7181" max="7181" width="13.6640625" style="1" customWidth="1"/>
    <col min="7182" max="7182" width="14.109375" style="1" customWidth="1"/>
    <col min="7183" max="7424" width="9.109375" style="1"/>
    <col min="7425" max="7425" width="4.44140625" style="1" customWidth="1"/>
    <col min="7426" max="7426" width="39.109375" style="1" customWidth="1"/>
    <col min="7427" max="7427" width="18.44140625" style="1" customWidth="1"/>
    <col min="7428" max="7428" width="15.33203125" style="1" customWidth="1"/>
    <col min="7429" max="7429" width="15.5546875" style="1" customWidth="1"/>
    <col min="7430" max="7430" width="13.6640625" style="1" customWidth="1"/>
    <col min="7431" max="7431" width="14.5546875" style="1" customWidth="1"/>
    <col min="7432" max="7432" width="4.6640625" style="1" customWidth="1"/>
    <col min="7433" max="7433" width="34" style="1" customWidth="1"/>
    <col min="7434" max="7434" width="19.109375" style="1" customWidth="1"/>
    <col min="7435" max="7435" width="14.33203125" style="1" customWidth="1"/>
    <col min="7436" max="7436" width="15.44140625" style="1" customWidth="1"/>
    <col min="7437" max="7437" width="13.6640625" style="1" customWidth="1"/>
    <col min="7438" max="7438" width="14.109375" style="1" customWidth="1"/>
    <col min="7439" max="7680" width="9.109375" style="1"/>
    <col min="7681" max="7681" width="4.44140625" style="1" customWidth="1"/>
    <col min="7682" max="7682" width="39.109375" style="1" customWidth="1"/>
    <col min="7683" max="7683" width="18.44140625" style="1" customWidth="1"/>
    <col min="7684" max="7684" width="15.33203125" style="1" customWidth="1"/>
    <col min="7685" max="7685" width="15.5546875" style="1" customWidth="1"/>
    <col min="7686" max="7686" width="13.6640625" style="1" customWidth="1"/>
    <col min="7687" max="7687" width="14.5546875" style="1" customWidth="1"/>
    <col min="7688" max="7688" width="4.6640625" style="1" customWidth="1"/>
    <col min="7689" max="7689" width="34" style="1" customWidth="1"/>
    <col min="7690" max="7690" width="19.109375" style="1" customWidth="1"/>
    <col min="7691" max="7691" width="14.33203125" style="1" customWidth="1"/>
    <col min="7692" max="7692" width="15.44140625" style="1" customWidth="1"/>
    <col min="7693" max="7693" width="13.6640625" style="1" customWidth="1"/>
    <col min="7694" max="7694" width="14.109375" style="1" customWidth="1"/>
    <col min="7695" max="7936" width="9.109375" style="1"/>
    <col min="7937" max="7937" width="4.44140625" style="1" customWidth="1"/>
    <col min="7938" max="7938" width="39.109375" style="1" customWidth="1"/>
    <col min="7939" max="7939" width="18.44140625" style="1" customWidth="1"/>
    <col min="7940" max="7940" width="15.33203125" style="1" customWidth="1"/>
    <col min="7941" max="7941" width="15.5546875" style="1" customWidth="1"/>
    <col min="7942" max="7942" width="13.6640625" style="1" customWidth="1"/>
    <col min="7943" max="7943" width="14.5546875" style="1" customWidth="1"/>
    <col min="7944" max="7944" width="4.6640625" style="1" customWidth="1"/>
    <col min="7945" max="7945" width="34" style="1" customWidth="1"/>
    <col min="7946" max="7946" width="19.109375" style="1" customWidth="1"/>
    <col min="7947" max="7947" width="14.33203125" style="1" customWidth="1"/>
    <col min="7948" max="7948" width="15.44140625" style="1" customWidth="1"/>
    <col min="7949" max="7949" width="13.6640625" style="1" customWidth="1"/>
    <col min="7950" max="7950" width="14.109375" style="1" customWidth="1"/>
    <col min="7951" max="8192" width="9.109375" style="1"/>
    <col min="8193" max="8193" width="4.44140625" style="1" customWidth="1"/>
    <col min="8194" max="8194" width="39.109375" style="1" customWidth="1"/>
    <col min="8195" max="8195" width="18.44140625" style="1" customWidth="1"/>
    <col min="8196" max="8196" width="15.33203125" style="1" customWidth="1"/>
    <col min="8197" max="8197" width="15.5546875" style="1" customWidth="1"/>
    <col min="8198" max="8198" width="13.6640625" style="1" customWidth="1"/>
    <col min="8199" max="8199" width="14.5546875" style="1" customWidth="1"/>
    <col min="8200" max="8200" width="4.6640625" style="1" customWidth="1"/>
    <col min="8201" max="8201" width="34" style="1" customWidth="1"/>
    <col min="8202" max="8202" width="19.109375" style="1" customWidth="1"/>
    <col min="8203" max="8203" width="14.33203125" style="1" customWidth="1"/>
    <col min="8204" max="8204" width="15.44140625" style="1" customWidth="1"/>
    <col min="8205" max="8205" width="13.6640625" style="1" customWidth="1"/>
    <col min="8206" max="8206" width="14.109375" style="1" customWidth="1"/>
    <col min="8207" max="8448" width="9.109375" style="1"/>
    <col min="8449" max="8449" width="4.44140625" style="1" customWidth="1"/>
    <col min="8450" max="8450" width="39.109375" style="1" customWidth="1"/>
    <col min="8451" max="8451" width="18.44140625" style="1" customWidth="1"/>
    <col min="8452" max="8452" width="15.33203125" style="1" customWidth="1"/>
    <col min="8453" max="8453" width="15.5546875" style="1" customWidth="1"/>
    <col min="8454" max="8454" width="13.6640625" style="1" customWidth="1"/>
    <col min="8455" max="8455" width="14.5546875" style="1" customWidth="1"/>
    <col min="8456" max="8456" width="4.6640625" style="1" customWidth="1"/>
    <col min="8457" max="8457" width="34" style="1" customWidth="1"/>
    <col min="8458" max="8458" width="19.109375" style="1" customWidth="1"/>
    <col min="8459" max="8459" width="14.33203125" style="1" customWidth="1"/>
    <col min="8460" max="8460" width="15.44140625" style="1" customWidth="1"/>
    <col min="8461" max="8461" width="13.6640625" style="1" customWidth="1"/>
    <col min="8462" max="8462" width="14.109375" style="1" customWidth="1"/>
    <col min="8463" max="8704" width="9.109375" style="1"/>
    <col min="8705" max="8705" width="4.44140625" style="1" customWidth="1"/>
    <col min="8706" max="8706" width="39.109375" style="1" customWidth="1"/>
    <col min="8707" max="8707" width="18.44140625" style="1" customWidth="1"/>
    <col min="8708" max="8708" width="15.33203125" style="1" customWidth="1"/>
    <col min="8709" max="8709" width="15.5546875" style="1" customWidth="1"/>
    <col min="8710" max="8710" width="13.6640625" style="1" customWidth="1"/>
    <col min="8711" max="8711" width="14.5546875" style="1" customWidth="1"/>
    <col min="8712" max="8712" width="4.6640625" style="1" customWidth="1"/>
    <col min="8713" max="8713" width="34" style="1" customWidth="1"/>
    <col min="8714" max="8714" width="19.109375" style="1" customWidth="1"/>
    <col min="8715" max="8715" width="14.33203125" style="1" customWidth="1"/>
    <col min="8716" max="8716" width="15.44140625" style="1" customWidth="1"/>
    <col min="8717" max="8717" width="13.6640625" style="1" customWidth="1"/>
    <col min="8718" max="8718" width="14.109375" style="1" customWidth="1"/>
    <col min="8719" max="8960" width="9.109375" style="1"/>
    <col min="8961" max="8961" width="4.44140625" style="1" customWidth="1"/>
    <col min="8962" max="8962" width="39.109375" style="1" customWidth="1"/>
    <col min="8963" max="8963" width="18.44140625" style="1" customWidth="1"/>
    <col min="8964" max="8964" width="15.33203125" style="1" customWidth="1"/>
    <col min="8965" max="8965" width="15.5546875" style="1" customWidth="1"/>
    <col min="8966" max="8966" width="13.6640625" style="1" customWidth="1"/>
    <col min="8967" max="8967" width="14.5546875" style="1" customWidth="1"/>
    <col min="8968" max="8968" width="4.6640625" style="1" customWidth="1"/>
    <col min="8969" max="8969" width="34" style="1" customWidth="1"/>
    <col min="8970" max="8970" width="19.109375" style="1" customWidth="1"/>
    <col min="8971" max="8971" width="14.33203125" style="1" customWidth="1"/>
    <col min="8972" max="8972" width="15.44140625" style="1" customWidth="1"/>
    <col min="8973" max="8973" width="13.6640625" style="1" customWidth="1"/>
    <col min="8974" max="8974" width="14.109375" style="1" customWidth="1"/>
    <col min="8975" max="9216" width="9.109375" style="1"/>
    <col min="9217" max="9217" width="4.44140625" style="1" customWidth="1"/>
    <col min="9218" max="9218" width="39.109375" style="1" customWidth="1"/>
    <col min="9219" max="9219" width="18.44140625" style="1" customWidth="1"/>
    <col min="9220" max="9220" width="15.33203125" style="1" customWidth="1"/>
    <col min="9221" max="9221" width="15.5546875" style="1" customWidth="1"/>
    <col min="9222" max="9222" width="13.6640625" style="1" customWidth="1"/>
    <col min="9223" max="9223" width="14.5546875" style="1" customWidth="1"/>
    <col min="9224" max="9224" width="4.6640625" style="1" customWidth="1"/>
    <col min="9225" max="9225" width="34" style="1" customWidth="1"/>
    <col min="9226" max="9226" width="19.109375" style="1" customWidth="1"/>
    <col min="9227" max="9227" width="14.33203125" style="1" customWidth="1"/>
    <col min="9228" max="9228" width="15.44140625" style="1" customWidth="1"/>
    <col min="9229" max="9229" width="13.6640625" style="1" customWidth="1"/>
    <col min="9230" max="9230" width="14.109375" style="1" customWidth="1"/>
    <col min="9231" max="9472" width="9.109375" style="1"/>
    <col min="9473" max="9473" width="4.44140625" style="1" customWidth="1"/>
    <col min="9474" max="9474" width="39.109375" style="1" customWidth="1"/>
    <col min="9475" max="9475" width="18.44140625" style="1" customWidth="1"/>
    <col min="9476" max="9476" width="15.33203125" style="1" customWidth="1"/>
    <col min="9477" max="9477" width="15.5546875" style="1" customWidth="1"/>
    <col min="9478" max="9478" width="13.6640625" style="1" customWidth="1"/>
    <col min="9479" max="9479" width="14.5546875" style="1" customWidth="1"/>
    <col min="9480" max="9480" width="4.6640625" style="1" customWidth="1"/>
    <col min="9481" max="9481" width="34" style="1" customWidth="1"/>
    <col min="9482" max="9482" width="19.109375" style="1" customWidth="1"/>
    <col min="9483" max="9483" width="14.33203125" style="1" customWidth="1"/>
    <col min="9484" max="9484" width="15.44140625" style="1" customWidth="1"/>
    <col min="9485" max="9485" width="13.6640625" style="1" customWidth="1"/>
    <col min="9486" max="9486" width="14.109375" style="1" customWidth="1"/>
    <col min="9487" max="9728" width="9.109375" style="1"/>
    <col min="9729" max="9729" width="4.44140625" style="1" customWidth="1"/>
    <col min="9730" max="9730" width="39.109375" style="1" customWidth="1"/>
    <col min="9731" max="9731" width="18.44140625" style="1" customWidth="1"/>
    <col min="9732" max="9732" width="15.33203125" style="1" customWidth="1"/>
    <col min="9733" max="9733" width="15.5546875" style="1" customWidth="1"/>
    <col min="9734" max="9734" width="13.6640625" style="1" customWidth="1"/>
    <col min="9735" max="9735" width="14.5546875" style="1" customWidth="1"/>
    <col min="9736" max="9736" width="4.6640625" style="1" customWidth="1"/>
    <col min="9737" max="9737" width="34" style="1" customWidth="1"/>
    <col min="9738" max="9738" width="19.109375" style="1" customWidth="1"/>
    <col min="9739" max="9739" width="14.33203125" style="1" customWidth="1"/>
    <col min="9740" max="9740" width="15.44140625" style="1" customWidth="1"/>
    <col min="9741" max="9741" width="13.6640625" style="1" customWidth="1"/>
    <col min="9742" max="9742" width="14.109375" style="1" customWidth="1"/>
    <col min="9743" max="9984" width="9.109375" style="1"/>
    <col min="9985" max="9985" width="4.44140625" style="1" customWidth="1"/>
    <col min="9986" max="9986" width="39.109375" style="1" customWidth="1"/>
    <col min="9987" max="9987" width="18.44140625" style="1" customWidth="1"/>
    <col min="9988" max="9988" width="15.33203125" style="1" customWidth="1"/>
    <col min="9989" max="9989" width="15.5546875" style="1" customWidth="1"/>
    <col min="9990" max="9990" width="13.6640625" style="1" customWidth="1"/>
    <col min="9991" max="9991" width="14.5546875" style="1" customWidth="1"/>
    <col min="9992" max="9992" width="4.6640625" style="1" customWidth="1"/>
    <col min="9993" max="9993" width="34" style="1" customWidth="1"/>
    <col min="9994" max="9994" width="19.109375" style="1" customWidth="1"/>
    <col min="9995" max="9995" width="14.33203125" style="1" customWidth="1"/>
    <col min="9996" max="9996" width="15.44140625" style="1" customWidth="1"/>
    <col min="9997" max="9997" width="13.6640625" style="1" customWidth="1"/>
    <col min="9998" max="9998" width="14.109375" style="1" customWidth="1"/>
    <col min="9999" max="10240" width="9.109375" style="1"/>
    <col min="10241" max="10241" width="4.44140625" style="1" customWidth="1"/>
    <col min="10242" max="10242" width="39.109375" style="1" customWidth="1"/>
    <col min="10243" max="10243" width="18.44140625" style="1" customWidth="1"/>
    <col min="10244" max="10244" width="15.33203125" style="1" customWidth="1"/>
    <col min="10245" max="10245" width="15.5546875" style="1" customWidth="1"/>
    <col min="10246" max="10246" width="13.6640625" style="1" customWidth="1"/>
    <col min="10247" max="10247" width="14.5546875" style="1" customWidth="1"/>
    <col min="10248" max="10248" width="4.6640625" style="1" customWidth="1"/>
    <col min="10249" max="10249" width="34" style="1" customWidth="1"/>
    <col min="10250" max="10250" width="19.109375" style="1" customWidth="1"/>
    <col min="10251" max="10251" width="14.33203125" style="1" customWidth="1"/>
    <col min="10252" max="10252" width="15.44140625" style="1" customWidth="1"/>
    <col min="10253" max="10253" width="13.6640625" style="1" customWidth="1"/>
    <col min="10254" max="10254" width="14.109375" style="1" customWidth="1"/>
    <col min="10255" max="10496" width="9.109375" style="1"/>
    <col min="10497" max="10497" width="4.44140625" style="1" customWidth="1"/>
    <col min="10498" max="10498" width="39.109375" style="1" customWidth="1"/>
    <col min="10499" max="10499" width="18.44140625" style="1" customWidth="1"/>
    <col min="10500" max="10500" width="15.33203125" style="1" customWidth="1"/>
    <col min="10501" max="10501" width="15.5546875" style="1" customWidth="1"/>
    <col min="10502" max="10502" width="13.6640625" style="1" customWidth="1"/>
    <col min="10503" max="10503" width="14.5546875" style="1" customWidth="1"/>
    <col min="10504" max="10504" width="4.6640625" style="1" customWidth="1"/>
    <col min="10505" max="10505" width="34" style="1" customWidth="1"/>
    <col min="10506" max="10506" width="19.109375" style="1" customWidth="1"/>
    <col min="10507" max="10507" width="14.33203125" style="1" customWidth="1"/>
    <col min="10508" max="10508" width="15.44140625" style="1" customWidth="1"/>
    <col min="10509" max="10509" width="13.6640625" style="1" customWidth="1"/>
    <col min="10510" max="10510" width="14.109375" style="1" customWidth="1"/>
    <col min="10511" max="10752" width="9.109375" style="1"/>
    <col min="10753" max="10753" width="4.44140625" style="1" customWidth="1"/>
    <col min="10754" max="10754" width="39.109375" style="1" customWidth="1"/>
    <col min="10755" max="10755" width="18.44140625" style="1" customWidth="1"/>
    <col min="10756" max="10756" width="15.33203125" style="1" customWidth="1"/>
    <col min="10757" max="10757" width="15.5546875" style="1" customWidth="1"/>
    <col min="10758" max="10758" width="13.6640625" style="1" customWidth="1"/>
    <col min="10759" max="10759" width="14.5546875" style="1" customWidth="1"/>
    <col min="10760" max="10760" width="4.6640625" style="1" customWidth="1"/>
    <col min="10761" max="10761" width="34" style="1" customWidth="1"/>
    <col min="10762" max="10762" width="19.109375" style="1" customWidth="1"/>
    <col min="10763" max="10763" width="14.33203125" style="1" customWidth="1"/>
    <col min="10764" max="10764" width="15.44140625" style="1" customWidth="1"/>
    <col min="10765" max="10765" width="13.6640625" style="1" customWidth="1"/>
    <col min="10766" max="10766" width="14.109375" style="1" customWidth="1"/>
    <col min="10767" max="11008" width="9.109375" style="1"/>
    <col min="11009" max="11009" width="4.44140625" style="1" customWidth="1"/>
    <col min="11010" max="11010" width="39.109375" style="1" customWidth="1"/>
    <col min="11011" max="11011" width="18.44140625" style="1" customWidth="1"/>
    <col min="11012" max="11012" width="15.33203125" style="1" customWidth="1"/>
    <col min="11013" max="11013" width="15.5546875" style="1" customWidth="1"/>
    <col min="11014" max="11014" width="13.6640625" style="1" customWidth="1"/>
    <col min="11015" max="11015" width="14.5546875" style="1" customWidth="1"/>
    <col min="11016" max="11016" width="4.6640625" style="1" customWidth="1"/>
    <col min="11017" max="11017" width="34" style="1" customWidth="1"/>
    <col min="11018" max="11018" width="19.109375" style="1" customWidth="1"/>
    <col min="11019" max="11019" width="14.33203125" style="1" customWidth="1"/>
    <col min="11020" max="11020" width="15.44140625" style="1" customWidth="1"/>
    <col min="11021" max="11021" width="13.6640625" style="1" customWidth="1"/>
    <col min="11022" max="11022" width="14.109375" style="1" customWidth="1"/>
    <col min="11023" max="11264" width="9.109375" style="1"/>
    <col min="11265" max="11265" width="4.44140625" style="1" customWidth="1"/>
    <col min="11266" max="11266" width="39.109375" style="1" customWidth="1"/>
    <col min="11267" max="11267" width="18.44140625" style="1" customWidth="1"/>
    <col min="11268" max="11268" width="15.33203125" style="1" customWidth="1"/>
    <col min="11269" max="11269" width="15.5546875" style="1" customWidth="1"/>
    <col min="11270" max="11270" width="13.6640625" style="1" customWidth="1"/>
    <col min="11271" max="11271" width="14.5546875" style="1" customWidth="1"/>
    <col min="11272" max="11272" width="4.6640625" style="1" customWidth="1"/>
    <col min="11273" max="11273" width="34" style="1" customWidth="1"/>
    <col min="11274" max="11274" width="19.109375" style="1" customWidth="1"/>
    <col min="11275" max="11275" width="14.33203125" style="1" customWidth="1"/>
    <col min="11276" max="11276" width="15.44140625" style="1" customWidth="1"/>
    <col min="11277" max="11277" width="13.6640625" style="1" customWidth="1"/>
    <col min="11278" max="11278" width="14.109375" style="1" customWidth="1"/>
    <col min="11279" max="11520" width="9.109375" style="1"/>
    <col min="11521" max="11521" width="4.44140625" style="1" customWidth="1"/>
    <col min="11522" max="11522" width="39.109375" style="1" customWidth="1"/>
    <col min="11523" max="11523" width="18.44140625" style="1" customWidth="1"/>
    <col min="11524" max="11524" width="15.33203125" style="1" customWidth="1"/>
    <col min="11525" max="11525" width="15.5546875" style="1" customWidth="1"/>
    <col min="11526" max="11526" width="13.6640625" style="1" customWidth="1"/>
    <col min="11527" max="11527" width="14.5546875" style="1" customWidth="1"/>
    <col min="11528" max="11528" width="4.6640625" style="1" customWidth="1"/>
    <col min="11529" max="11529" width="34" style="1" customWidth="1"/>
    <col min="11530" max="11530" width="19.109375" style="1" customWidth="1"/>
    <col min="11531" max="11531" width="14.33203125" style="1" customWidth="1"/>
    <col min="11532" max="11532" width="15.44140625" style="1" customWidth="1"/>
    <col min="11533" max="11533" width="13.6640625" style="1" customWidth="1"/>
    <col min="11534" max="11534" width="14.109375" style="1" customWidth="1"/>
    <col min="11535" max="11776" width="9.109375" style="1"/>
    <col min="11777" max="11777" width="4.44140625" style="1" customWidth="1"/>
    <col min="11778" max="11778" width="39.109375" style="1" customWidth="1"/>
    <col min="11779" max="11779" width="18.44140625" style="1" customWidth="1"/>
    <col min="11780" max="11780" width="15.33203125" style="1" customWidth="1"/>
    <col min="11781" max="11781" width="15.5546875" style="1" customWidth="1"/>
    <col min="11782" max="11782" width="13.6640625" style="1" customWidth="1"/>
    <col min="11783" max="11783" width="14.5546875" style="1" customWidth="1"/>
    <col min="11784" max="11784" width="4.6640625" style="1" customWidth="1"/>
    <col min="11785" max="11785" width="34" style="1" customWidth="1"/>
    <col min="11786" max="11786" width="19.109375" style="1" customWidth="1"/>
    <col min="11787" max="11787" width="14.33203125" style="1" customWidth="1"/>
    <col min="11788" max="11788" width="15.44140625" style="1" customWidth="1"/>
    <col min="11789" max="11789" width="13.6640625" style="1" customWidth="1"/>
    <col min="11790" max="11790" width="14.109375" style="1" customWidth="1"/>
    <col min="11791" max="12032" width="9.109375" style="1"/>
    <col min="12033" max="12033" width="4.44140625" style="1" customWidth="1"/>
    <col min="12034" max="12034" width="39.109375" style="1" customWidth="1"/>
    <col min="12035" max="12035" width="18.44140625" style="1" customWidth="1"/>
    <col min="12036" max="12036" width="15.33203125" style="1" customWidth="1"/>
    <col min="12037" max="12037" width="15.5546875" style="1" customWidth="1"/>
    <col min="12038" max="12038" width="13.6640625" style="1" customWidth="1"/>
    <col min="12039" max="12039" width="14.5546875" style="1" customWidth="1"/>
    <col min="12040" max="12040" width="4.6640625" style="1" customWidth="1"/>
    <col min="12041" max="12041" width="34" style="1" customWidth="1"/>
    <col min="12042" max="12042" width="19.109375" style="1" customWidth="1"/>
    <col min="12043" max="12043" width="14.33203125" style="1" customWidth="1"/>
    <col min="12044" max="12044" width="15.44140625" style="1" customWidth="1"/>
    <col min="12045" max="12045" width="13.6640625" style="1" customWidth="1"/>
    <col min="12046" max="12046" width="14.109375" style="1" customWidth="1"/>
    <col min="12047" max="12288" width="9.109375" style="1"/>
    <col min="12289" max="12289" width="4.44140625" style="1" customWidth="1"/>
    <col min="12290" max="12290" width="39.109375" style="1" customWidth="1"/>
    <col min="12291" max="12291" width="18.44140625" style="1" customWidth="1"/>
    <col min="12292" max="12292" width="15.33203125" style="1" customWidth="1"/>
    <col min="12293" max="12293" width="15.5546875" style="1" customWidth="1"/>
    <col min="12294" max="12294" width="13.6640625" style="1" customWidth="1"/>
    <col min="12295" max="12295" width="14.5546875" style="1" customWidth="1"/>
    <col min="12296" max="12296" width="4.6640625" style="1" customWidth="1"/>
    <col min="12297" max="12297" width="34" style="1" customWidth="1"/>
    <col min="12298" max="12298" width="19.109375" style="1" customWidth="1"/>
    <col min="12299" max="12299" width="14.33203125" style="1" customWidth="1"/>
    <col min="12300" max="12300" width="15.44140625" style="1" customWidth="1"/>
    <col min="12301" max="12301" width="13.6640625" style="1" customWidth="1"/>
    <col min="12302" max="12302" width="14.109375" style="1" customWidth="1"/>
    <col min="12303" max="12544" width="9.109375" style="1"/>
    <col min="12545" max="12545" width="4.44140625" style="1" customWidth="1"/>
    <col min="12546" max="12546" width="39.109375" style="1" customWidth="1"/>
    <col min="12547" max="12547" width="18.44140625" style="1" customWidth="1"/>
    <col min="12548" max="12548" width="15.33203125" style="1" customWidth="1"/>
    <col min="12549" max="12549" width="15.5546875" style="1" customWidth="1"/>
    <col min="12550" max="12550" width="13.6640625" style="1" customWidth="1"/>
    <col min="12551" max="12551" width="14.5546875" style="1" customWidth="1"/>
    <col min="12552" max="12552" width="4.6640625" style="1" customWidth="1"/>
    <col min="12553" max="12553" width="34" style="1" customWidth="1"/>
    <col min="12554" max="12554" width="19.109375" style="1" customWidth="1"/>
    <col min="12555" max="12555" width="14.33203125" style="1" customWidth="1"/>
    <col min="12556" max="12556" width="15.44140625" style="1" customWidth="1"/>
    <col min="12557" max="12557" width="13.6640625" style="1" customWidth="1"/>
    <col min="12558" max="12558" width="14.109375" style="1" customWidth="1"/>
    <col min="12559" max="12800" width="9.109375" style="1"/>
    <col min="12801" max="12801" width="4.44140625" style="1" customWidth="1"/>
    <col min="12802" max="12802" width="39.109375" style="1" customWidth="1"/>
    <col min="12803" max="12803" width="18.44140625" style="1" customWidth="1"/>
    <col min="12804" max="12804" width="15.33203125" style="1" customWidth="1"/>
    <col min="12805" max="12805" width="15.5546875" style="1" customWidth="1"/>
    <col min="12806" max="12806" width="13.6640625" style="1" customWidth="1"/>
    <col min="12807" max="12807" width="14.5546875" style="1" customWidth="1"/>
    <col min="12808" max="12808" width="4.6640625" style="1" customWidth="1"/>
    <col min="12809" max="12809" width="34" style="1" customWidth="1"/>
    <col min="12810" max="12810" width="19.109375" style="1" customWidth="1"/>
    <col min="12811" max="12811" width="14.33203125" style="1" customWidth="1"/>
    <col min="12812" max="12812" width="15.44140625" style="1" customWidth="1"/>
    <col min="12813" max="12813" width="13.6640625" style="1" customWidth="1"/>
    <col min="12814" max="12814" width="14.109375" style="1" customWidth="1"/>
    <col min="12815" max="13056" width="9.109375" style="1"/>
    <col min="13057" max="13057" width="4.44140625" style="1" customWidth="1"/>
    <col min="13058" max="13058" width="39.109375" style="1" customWidth="1"/>
    <col min="13059" max="13059" width="18.44140625" style="1" customWidth="1"/>
    <col min="13060" max="13060" width="15.33203125" style="1" customWidth="1"/>
    <col min="13061" max="13061" width="15.5546875" style="1" customWidth="1"/>
    <col min="13062" max="13062" width="13.6640625" style="1" customWidth="1"/>
    <col min="13063" max="13063" width="14.5546875" style="1" customWidth="1"/>
    <col min="13064" max="13064" width="4.6640625" style="1" customWidth="1"/>
    <col min="13065" max="13065" width="34" style="1" customWidth="1"/>
    <col min="13066" max="13066" width="19.109375" style="1" customWidth="1"/>
    <col min="13067" max="13067" width="14.33203125" style="1" customWidth="1"/>
    <col min="13068" max="13068" width="15.44140625" style="1" customWidth="1"/>
    <col min="13069" max="13069" width="13.6640625" style="1" customWidth="1"/>
    <col min="13070" max="13070" width="14.109375" style="1" customWidth="1"/>
    <col min="13071" max="13312" width="9.109375" style="1"/>
    <col min="13313" max="13313" width="4.44140625" style="1" customWidth="1"/>
    <col min="13314" max="13314" width="39.109375" style="1" customWidth="1"/>
    <col min="13315" max="13315" width="18.44140625" style="1" customWidth="1"/>
    <col min="13316" max="13316" width="15.33203125" style="1" customWidth="1"/>
    <col min="13317" max="13317" width="15.5546875" style="1" customWidth="1"/>
    <col min="13318" max="13318" width="13.6640625" style="1" customWidth="1"/>
    <col min="13319" max="13319" width="14.5546875" style="1" customWidth="1"/>
    <col min="13320" max="13320" width="4.6640625" style="1" customWidth="1"/>
    <col min="13321" max="13321" width="34" style="1" customWidth="1"/>
    <col min="13322" max="13322" width="19.109375" style="1" customWidth="1"/>
    <col min="13323" max="13323" width="14.33203125" style="1" customWidth="1"/>
    <col min="13324" max="13324" width="15.44140625" style="1" customWidth="1"/>
    <col min="13325" max="13325" width="13.6640625" style="1" customWidth="1"/>
    <col min="13326" max="13326" width="14.109375" style="1" customWidth="1"/>
    <col min="13327" max="13568" width="9.109375" style="1"/>
    <col min="13569" max="13569" width="4.44140625" style="1" customWidth="1"/>
    <col min="13570" max="13570" width="39.109375" style="1" customWidth="1"/>
    <col min="13571" max="13571" width="18.44140625" style="1" customWidth="1"/>
    <col min="13572" max="13572" width="15.33203125" style="1" customWidth="1"/>
    <col min="13573" max="13573" width="15.5546875" style="1" customWidth="1"/>
    <col min="13574" max="13574" width="13.6640625" style="1" customWidth="1"/>
    <col min="13575" max="13575" width="14.5546875" style="1" customWidth="1"/>
    <col min="13576" max="13576" width="4.6640625" style="1" customWidth="1"/>
    <col min="13577" max="13577" width="34" style="1" customWidth="1"/>
    <col min="13578" max="13578" width="19.109375" style="1" customWidth="1"/>
    <col min="13579" max="13579" width="14.33203125" style="1" customWidth="1"/>
    <col min="13580" max="13580" width="15.44140625" style="1" customWidth="1"/>
    <col min="13581" max="13581" width="13.6640625" style="1" customWidth="1"/>
    <col min="13582" max="13582" width="14.109375" style="1" customWidth="1"/>
    <col min="13583" max="13824" width="9.109375" style="1"/>
    <col min="13825" max="13825" width="4.44140625" style="1" customWidth="1"/>
    <col min="13826" max="13826" width="39.109375" style="1" customWidth="1"/>
    <col min="13827" max="13827" width="18.44140625" style="1" customWidth="1"/>
    <col min="13828" max="13828" width="15.33203125" style="1" customWidth="1"/>
    <col min="13829" max="13829" width="15.5546875" style="1" customWidth="1"/>
    <col min="13830" max="13830" width="13.6640625" style="1" customWidth="1"/>
    <col min="13831" max="13831" width="14.5546875" style="1" customWidth="1"/>
    <col min="13832" max="13832" width="4.6640625" style="1" customWidth="1"/>
    <col min="13833" max="13833" width="34" style="1" customWidth="1"/>
    <col min="13834" max="13834" width="19.109375" style="1" customWidth="1"/>
    <col min="13835" max="13835" width="14.33203125" style="1" customWidth="1"/>
    <col min="13836" max="13836" width="15.44140625" style="1" customWidth="1"/>
    <col min="13837" max="13837" width="13.6640625" style="1" customWidth="1"/>
    <col min="13838" max="13838" width="14.109375" style="1" customWidth="1"/>
    <col min="13839" max="14080" width="9.109375" style="1"/>
    <col min="14081" max="14081" width="4.44140625" style="1" customWidth="1"/>
    <col min="14082" max="14082" width="39.109375" style="1" customWidth="1"/>
    <col min="14083" max="14083" width="18.44140625" style="1" customWidth="1"/>
    <col min="14084" max="14084" width="15.33203125" style="1" customWidth="1"/>
    <col min="14085" max="14085" width="15.5546875" style="1" customWidth="1"/>
    <col min="14086" max="14086" width="13.6640625" style="1" customWidth="1"/>
    <col min="14087" max="14087" width="14.5546875" style="1" customWidth="1"/>
    <col min="14088" max="14088" width="4.6640625" style="1" customWidth="1"/>
    <col min="14089" max="14089" width="34" style="1" customWidth="1"/>
    <col min="14090" max="14090" width="19.109375" style="1" customWidth="1"/>
    <col min="14091" max="14091" width="14.33203125" style="1" customWidth="1"/>
    <col min="14092" max="14092" width="15.44140625" style="1" customWidth="1"/>
    <col min="14093" max="14093" width="13.6640625" style="1" customWidth="1"/>
    <col min="14094" max="14094" width="14.109375" style="1" customWidth="1"/>
    <col min="14095" max="14336" width="9.109375" style="1"/>
    <col min="14337" max="14337" width="4.44140625" style="1" customWidth="1"/>
    <col min="14338" max="14338" width="39.109375" style="1" customWidth="1"/>
    <col min="14339" max="14339" width="18.44140625" style="1" customWidth="1"/>
    <col min="14340" max="14340" width="15.33203125" style="1" customWidth="1"/>
    <col min="14341" max="14341" width="15.5546875" style="1" customWidth="1"/>
    <col min="14342" max="14342" width="13.6640625" style="1" customWidth="1"/>
    <col min="14343" max="14343" width="14.5546875" style="1" customWidth="1"/>
    <col min="14344" max="14344" width="4.6640625" style="1" customWidth="1"/>
    <col min="14345" max="14345" width="34" style="1" customWidth="1"/>
    <col min="14346" max="14346" width="19.109375" style="1" customWidth="1"/>
    <col min="14347" max="14347" width="14.33203125" style="1" customWidth="1"/>
    <col min="14348" max="14348" width="15.44140625" style="1" customWidth="1"/>
    <col min="14349" max="14349" width="13.6640625" style="1" customWidth="1"/>
    <col min="14350" max="14350" width="14.109375" style="1" customWidth="1"/>
    <col min="14351" max="14592" width="9.109375" style="1"/>
    <col min="14593" max="14593" width="4.44140625" style="1" customWidth="1"/>
    <col min="14594" max="14594" width="39.109375" style="1" customWidth="1"/>
    <col min="14595" max="14595" width="18.44140625" style="1" customWidth="1"/>
    <col min="14596" max="14596" width="15.33203125" style="1" customWidth="1"/>
    <col min="14597" max="14597" width="15.5546875" style="1" customWidth="1"/>
    <col min="14598" max="14598" width="13.6640625" style="1" customWidth="1"/>
    <col min="14599" max="14599" width="14.5546875" style="1" customWidth="1"/>
    <col min="14600" max="14600" width="4.6640625" style="1" customWidth="1"/>
    <col min="14601" max="14601" width="34" style="1" customWidth="1"/>
    <col min="14602" max="14602" width="19.109375" style="1" customWidth="1"/>
    <col min="14603" max="14603" width="14.33203125" style="1" customWidth="1"/>
    <col min="14604" max="14604" width="15.44140625" style="1" customWidth="1"/>
    <col min="14605" max="14605" width="13.6640625" style="1" customWidth="1"/>
    <col min="14606" max="14606" width="14.109375" style="1" customWidth="1"/>
    <col min="14607" max="14848" width="9.109375" style="1"/>
    <col min="14849" max="14849" width="4.44140625" style="1" customWidth="1"/>
    <col min="14850" max="14850" width="39.109375" style="1" customWidth="1"/>
    <col min="14851" max="14851" width="18.44140625" style="1" customWidth="1"/>
    <col min="14852" max="14852" width="15.33203125" style="1" customWidth="1"/>
    <col min="14853" max="14853" width="15.5546875" style="1" customWidth="1"/>
    <col min="14854" max="14854" width="13.6640625" style="1" customWidth="1"/>
    <col min="14855" max="14855" width="14.5546875" style="1" customWidth="1"/>
    <col min="14856" max="14856" width="4.6640625" style="1" customWidth="1"/>
    <col min="14857" max="14857" width="34" style="1" customWidth="1"/>
    <col min="14858" max="14858" width="19.109375" style="1" customWidth="1"/>
    <col min="14859" max="14859" width="14.33203125" style="1" customWidth="1"/>
    <col min="14860" max="14860" width="15.44140625" style="1" customWidth="1"/>
    <col min="14861" max="14861" width="13.6640625" style="1" customWidth="1"/>
    <col min="14862" max="14862" width="14.109375" style="1" customWidth="1"/>
    <col min="14863" max="15104" width="9.109375" style="1"/>
    <col min="15105" max="15105" width="4.44140625" style="1" customWidth="1"/>
    <col min="15106" max="15106" width="39.109375" style="1" customWidth="1"/>
    <col min="15107" max="15107" width="18.44140625" style="1" customWidth="1"/>
    <col min="15108" max="15108" width="15.33203125" style="1" customWidth="1"/>
    <col min="15109" max="15109" width="15.5546875" style="1" customWidth="1"/>
    <col min="15110" max="15110" width="13.6640625" style="1" customWidth="1"/>
    <col min="15111" max="15111" width="14.5546875" style="1" customWidth="1"/>
    <col min="15112" max="15112" width="4.6640625" style="1" customWidth="1"/>
    <col min="15113" max="15113" width="34" style="1" customWidth="1"/>
    <col min="15114" max="15114" width="19.109375" style="1" customWidth="1"/>
    <col min="15115" max="15115" width="14.33203125" style="1" customWidth="1"/>
    <col min="15116" max="15116" width="15.44140625" style="1" customWidth="1"/>
    <col min="15117" max="15117" width="13.6640625" style="1" customWidth="1"/>
    <col min="15118" max="15118" width="14.109375" style="1" customWidth="1"/>
    <col min="15119" max="15360" width="9.109375" style="1"/>
    <col min="15361" max="15361" width="4.44140625" style="1" customWidth="1"/>
    <col min="15362" max="15362" width="39.109375" style="1" customWidth="1"/>
    <col min="15363" max="15363" width="18.44140625" style="1" customWidth="1"/>
    <col min="15364" max="15364" width="15.33203125" style="1" customWidth="1"/>
    <col min="15365" max="15365" width="15.5546875" style="1" customWidth="1"/>
    <col min="15366" max="15366" width="13.6640625" style="1" customWidth="1"/>
    <col min="15367" max="15367" width="14.5546875" style="1" customWidth="1"/>
    <col min="15368" max="15368" width="4.6640625" style="1" customWidth="1"/>
    <col min="15369" max="15369" width="34" style="1" customWidth="1"/>
    <col min="15370" max="15370" width="19.109375" style="1" customWidth="1"/>
    <col min="15371" max="15371" width="14.33203125" style="1" customWidth="1"/>
    <col min="15372" max="15372" width="15.44140625" style="1" customWidth="1"/>
    <col min="15373" max="15373" width="13.6640625" style="1" customWidth="1"/>
    <col min="15374" max="15374" width="14.109375" style="1" customWidth="1"/>
    <col min="15375" max="15616" width="9.109375" style="1"/>
    <col min="15617" max="15617" width="4.44140625" style="1" customWidth="1"/>
    <col min="15618" max="15618" width="39.109375" style="1" customWidth="1"/>
    <col min="15619" max="15619" width="18.44140625" style="1" customWidth="1"/>
    <col min="15620" max="15620" width="15.33203125" style="1" customWidth="1"/>
    <col min="15621" max="15621" width="15.5546875" style="1" customWidth="1"/>
    <col min="15622" max="15622" width="13.6640625" style="1" customWidth="1"/>
    <col min="15623" max="15623" width="14.5546875" style="1" customWidth="1"/>
    <col min="15624" max="15624" width="4.6640625" style="1" customWidth="1"/>
    <col min="15625" max="15625" width="34" style="1" customWidth="1"/>
    <col min="15626" max="15626" width="19.109375" style="1" customWidth="1"/>
    <col min="15627" max="15627" width="14.33203125" style="1" customWidth="1"/>
    <col min="15628" max="15628" width="15.44140625" style="1" customWidth="1"/>
    <col min="15629" max="15629" width="13.6640625" style="1" customWidth="1"/>
    <col min="15630" max="15630" width="14.109375" style="1" customWidth="1"/>
    <col min="15631" max="15872" width="9.109375" style="1"/>
    <col min="15873" max="15873" width="4.44140625" style="1" customWidth="1"/>
    <col min="15874" max="15874" width="39.109375" style="1" customWidth="1"/>
    <col min="15875" max="15875" width="18.44140625" style="1" customWidth="1"/>
    <col min="15876" max="15876" width="15.33203125" style="1" customWidth="1"/>
    <col min="15877" max="15877" width="15.5546875" style="1" customWidth="1"/>
    <col min="15878" max="15878" width="13.6640625" style="1" customWidth="1"/>
    <col min="15879" max="15879" width="14.5546875" style="1" customWidth="1"/>
    <col min="15880" max="15880" width="4.6640625" style="1" customWidth="1"/>
    <col min="15881" max="15881" width="34" style="1" customWidth="1"/>
    <col min="15882" max="15882" width="19.109375" style="1" customWidth="1"/>
    <col min="15883" max="15883" width="14.33203125" style="1" customWidth="1"/>
    <col min="15884" max="15884" width="15.44140625" style="1" customWidth="1"/>
    <col min="15885" max="15885" width="13.6640625" style="1" customWidth="1"/>
    <col min="15886" max="15886" width="14.109375" style="1" customWidth="1"/>
    <col min="15887" max="16128" width="9.109375" style="1"/>
    <col min="16129" max="16129" width="4.44140625" style="1" customWidth="1"/>
    <col min="16130" max="16130" width="39.109375" style="1" customWidth="1"/>
    <col min="16131" max="16131" width="18.44140625" style="1" customWidth="1"/>
    <col min="16132" max="16132" width="15.33203125" style="1" customWidth="1"/>
    <col min="16133" max="16133" width="15.5546875" style="1" customWidth="1"/>
    <col min="16134" max="16134" width="13.6640625" style="1" customWidth="1"/>
    <col min="16135" max="16135" width="14.5546875" style="1" customWidth="1"/>
    <col min="16136" max="16136" width="4.6640625" style="1" customWidth="1"/>
    <col min="16137" max="16137" width="34" style="1" customWidth="1"/>
    <col min="16138" max="16138" width="19.109375" style="1" customWidth="1"/>
    <col min="16139" max="16139" width="14.33203125" style="1" customWidth="1"/>
    <col min="16140" max="16140" width="15.44140625" style="1" customWidth="1"/>
    <col min="16141" max="16141" width="13.6640625" style="1" customWidth="1"/>
    <col min="16142" max="16142" width="14.109375" style="1" customWidth="1"/>
    <col min="16143" max="16384" width="9.109375" style="1"/>
  </cols>
  <sheetData>
    <row r="1" spans="1:14" x14ac:dyDescent="0.3">
      <c r="A1" s="51" t="s">
        <v>95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x14ac:dyDescent="0.3">
      <c r="A2" s="53" t="s">
        <v>116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x14ac:dyDescent="0.3">
      <c r="A4" s="48" t="s">
        <v>92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4" x14ac:dyDescent="0.3">
      <c r="A5" s="59" t="s">
        <v>7</v>
      </c>
      <c r="B5" s="59"/>
      <c r="C5" s="59"/>
      <c r="D5" s="59"/>
      <c r="E5" s="59"/>
      <c r="F5" s="59"/>
      <c r="G5" s="60"/>
      <c r="H5" s="58" t="s">
        <v>6</v>
      </c>
      <c r="I5" s="59"/>
      <c r="J5" s="59"/>
      <c r="K5" s="59"/>
      <c r="L5" s="59"/>
      <c r="M5" s="59"/>
      <c r="N5" s="59"/>
    </row>
    <row r="6" spans="1:14" x14ac:dyDescent="0.3">
      <c r="A6" s="54" t="s">
        <v>0</v>
      </c>
      <c r="B6" s="54" t="s">
        <v>1</v>
      </c>
      <c r="C6" s="43" t="s">
        <v>117</v>
      </c>
      <c r="D6" s="55" t="s">
        <v>118</v>
      </c>
      <c r="E6" s="55"/>
      <c r="F6" s="55"/>
      <c r="G6" s="56"/>
      <c r="H6" s="57" t="s">
        <v>0</v>
      </c>
      <c r="I6" s="54" t="s">
        <v>1</v>
      </c>
      <c r="J6" s="42" t="s">
        <v>117</v>
      </c>
      <c r="K6" s="54" t="s">
        <v>118</v>
      </c>
      <c r="L6" s="54"/>
      <c r="M6" s="54"/>
      <c r="N6" s="54"/>
    </row>
    <row r="7" spans="1:14" x14ac:dyDescent="0.3">
      <c r="A7" s="54"/>
      <c r="B7" s="54"/>
      <c r="C7" s="43" t="s">
        <v>5</v>
      </c>
      <c r="D7" s="43" t="s">
        <v>5</v>
      </c>
      <c r="E7" s="43" t="s">
        <v>2</v>
      </c>
      <c r="F7" s="43" t="s">
        <v>3</v>
      </c>
      <c r="G7" s="44" t="s">
        <v>4</v>
      </c>
      <c r="H7" s="57"/>
      <c r="I7" s="54"/>
      <c r="J7" s="42" t="s">
        <v>5</v>
      </c>
      <c r="K7" s="42" t="s">
        <v>5</v>
      </c>
      <c r="L7" s="42" t="s">
        <v>2</v>
      </c>
      <c r="M7" s="42" t="s">
        <v>3</v>
      </c>
      <c r="N7" s="42" t="s">
        <v>4</v>
      </c>
    </row>
    <row r="8" spans="1:14" x14ac:dyDescent="0.3">
      <c r="A8" s="47" t="s">
        <v>8</v>
      </c>
      <c r="B8" s="2" t="s">
        <v>9</v>
      </c>
      <c r="C8" s="3">
        <f>SUM(C9,C17,C20,C24,C33,C35)</f>
        <v>594851174</v>
      </c>
      <c r="D8" s="3">
        <f>SUM(E8:G8)</f>
        <v>667926853</v>
      </c>
      <c r="E8" s="3">
        <f>SUM(E9,E17,E20,E24,E33,E35)</f>
        <v>665926853</v>
      </c>
      <c r="F8" s="3">
        <f>SUM(F9,F17,F20,F24,F33,F35,F38)</f>
        <v>2000000</v>
      </c>
      <c r="G8" s="4">
        <f>SUM(G9,G17,G20,G24,G33,G35,G38)</f>
        <v>0</v>
      </c>
      <c r="H8" s="46" t="s">
        <v>43</v>
      </c>
      <c r="I8" s="2" t="s">
        <v>44</v>
      </c>
      <c r="J8" s="3">
        <f>SUM(J9,J10,J11,J12,J18,J20,J26,J27)</f>
        <v>640912007</v>
      </c>
      <c r="K8" s="3">
        <f>SUM(L8:N8)</f>
        <v>607841404</v>
      </c>
      <c r="L8" s="3">
        <f>SUM(L9,L10,L11,L12,L18,L20,L26,L27)</f>
        <v>571734927</v>
      </c>
      <c r="M8" s="3">
        <f>SUM(M9,M10,M11,M12,M18,M20,M26,M27)</f>
        <v>36106477</v>
      </c>
      <c r="N8" s="3">
        <f>SUM(N9,N10,N11,N12,N18,N20,N26,N27)</f>
        <v>0</v>
      </c>
    </row>
    <row r="9" spans="1:14" x14ac:dyDescent="0.3">
      <c r="A9" s="47" t="s">
        <v>10</v>
      </c>
      <c r="B9" s="2" t="s">
        <v>11</v>
      </c>
      <c r="C9" s="3">
        <f>SUM(C10:C16)</f>
        <v>495254626</v>
      </c>
      <c r="D9" s="3">
        <f t="shared" ref="D9:D39" si="0">SUM(E9:G9)</f>
        <v>536042974</v>
      </c>
      <c r="E9" s="3">
        <f>SUM(E10:E16)</f>
        <v>536042974</v>
      </c>
      <c r="F9" s="3">
        <f>SUM(F10:F16)</f>
        <v>0</v>
      </c>
      <c r="G9" s="4">
        <f>SUM(G10:G16)</f>
        <v>0</v>
      </c>
      <c r="H9" s="46" t="s">
        <v>10</v>
      </c>
      <c r="I9" s="2" t="s">
        <v>45</v>
      </c>
      <c r="J9" s="3">
        <v>74706748</v>
      </c>
      <c r="K9" s="3">
        <f t="shared" ref="K9:K32" si="1">SUM(L9:N9)</f>
        <v>66935339</v>
      </c>
      <c r="L9" s="3">
        <v>59126363</v>
      </c>
      <c r="M9" s="3">
        <v>7808976</v>
      </c>
      <c r="N9" s="3">
        <v>0</v>
      </c>
    </row>
    <row r="10" spans="1:14" x14ac:dyDescent="0.3">
      <c r="A10" s="42"/>
      <c r="B10" s="6" t="s">
        <v>14</v>
      </c>
      <c r="C10" s="7">
        <v>194257732</v>
      </c>
      <c r="D10" s="7">
        <f t="shared" si="0"/>
        <v>188234831</v>
      </c>
      <c r="E10" s="7">
        <v>188234831</v>
      </c>
      <c r="F10" s="7">
        <v>0</v>
      </c>
      <c r="G10" s="8">
        <v>0</v>
      </c>
      <c r="H10" s="46" t="s">
        <v>12</v>
      </c>
      <c r="I10" s="2" t="s">
        <v>46</v>
      </c>
      <c r="J10" s="3">
        <v>9011852</v>
      </c>
      <c r="K10" s="3">
        <f t="shared" si="1"/>
        <v>8048587</v>
      </c>
      <c r="L10" s="3">
        <v>7033420</v>
      </c>
      <c r="M10" s="3">
        <v>1015167</v>
      </c>
      <c r="N10" s="3">
        <v>0</v>
      </c>
    </row>
    <row r="11" spans="1:14" x14ac:dyDescent="0.3">
      <c r="A11" s="42"/>
      <c r="B11" s="6" t="s">
        <v>15</v>
      </c>
      <c r="C11" s="7">
        <v>148705610</v>
      </c>
      <c r="D11" s="7">
        <f t="shared" si="0"/>
        <v>158042170</v>
      </c>
      <c r="E11" s="7">
        <v>158042170</v>
      </c>
      <c r="F11" s="7">
        <v>0</v>
      </c>
      <c r="G11" s="8">
        <v>0</v>
      </c>
      <c r="H11" s="46" t="s">
        <v>21</v>
      </c>
      <c r="I11" s="2" t="s">
        <v>47</v>
      </c>
      <c r="J11" s="3">
        <v>194606573</v>
      </c>
      <c r="K11" s="3">
        <f t="shared" si="1"/>
        <v>211115161</v>
      </c>
      <c r="L11" s="3">
        <v>191572827</v>
      </c>
      <c r="M11" s="3">
        <v>19542334</v>
      </c>
      <c r="N11" s="3">
        <v>0</v>
      </c>
    </row>
    <row r="12" spans="1:14" x14ac:dyDescent="0.3">
      <c r="A12" s="42"/>
      <c r="B12" s="6" t="s">
        <v>16</v>
      </c>
      <c r="C12" s="7">
        <v>90440329</v>
      </c>
      <c r="D12" s="7">
        <f t="shared" si="0"/>
        <v>100732313</v>
      </c>
      <c r="E12" s="7">
        <v>100732313</v>
      </c>
      <c r="F12" s="7">
        <v>0</v>
      </c>
      <c r="G12" s="8">
        <v>0</v>
      </c>
      <c r="H12" s="46" t="s">
        <v>23</v>
      </c>
      <c r="I12" s="2" t="s">
        <v>48</v>
      </c>
      <c r="J12" s="3">
        <v>47790000</v>
      </c>
      <c r="K12" s="3">
        <f t="shared" si="1"/>
        <v>45290000</v>
      </c>
      <c r="L12" s="3">
        <f>SUM(L13:L17)</f>
        <v>41550000</v>
      </c>
      <c r="M12" s="3">
        <f>SUM(M13:M17)</f>
        <v>3740000</v>
      </c>
      <c r="N12" s="3">
        <f>SUM(N13:N17)</f>
        <v>0</v>
      </c>
    </row>
    <row r="13" spans="1:14" x14ac:dyDescent="0.3">
      <c r="A13" s="42"/>
      <c r="B13" s="6" t="s">
        <v>106</v>
      </c>
      <c r="C13" s="7">
        <v>47866400</v>
      </c>
      <c r="D13" s="7">
        <f t="shared" si="0"/>
        <v>78650264</v>
      </c>
      <c r="E13" s="7">
        <v>78650264</v>
      </c>
      <c r="F13" s="7"/>
      <c r="G13" s="8"/>
      <c r="H13" s="45"/>
      <c r="I13" s="6" t="s">
        <v>107</v>
      </c>
      <c r="J13" s="7">
        <v>50000</v>
      </c>
      <c r="K13" s="7">
        <f t="shared" si="1"/>
        <v>50000</v>
      </c>
      <c r="L13" s="7">
        <v>0</v>
      </c>
      <c r="M13" s="7">
        <v>50000</v>
      </c>
      <c r="N13" s="7">
        <v>0</v>
      </c>
    </row>
    <row r="14" spans="1:14" x14ac:dyDescent="0.3">
      <c r="A14" s="42"/>
      <c r="B14" s="6" t="s">
        <v>17</v>
      </c>
      <c r="C14" s="7">
        <v>10374544</v>
      </c>
      <c r="D14" s="7">
        <f t="shared" si="0"/>
        <v>10383396</v>
      </c>
      <c r="E14" s="7">
        <v>10383396</v>
      </c>
      <c r="F14" s="7">
        <v>0</v>
      </c>
      <c r="G14" s="8">
        <v>0</v>
      </c>
      <c r="H14" s="45"/>
      <c r="I14" s="6" t="s">
        <v>53</v>
      </c>
      <c r="J14" s="7">
        <v>17500000</v>
      </c>
      <c r="K14" s="7">
        <f t="shared" si="1"/>
        <v>18000000</v>
      </c>
      <c r="L14" s="7">
        <v>18000000</v>
      </c>
      <c r="M14" s="7">
        <v>0</v>
      </c>
      <c r="N14" s="7">
        <v>0</v>
      </c>
    </row>
    <row r="15" spans="1:14" x14ac:dyDescent="0.3">
      <c r="A15" s="42"/>
      <c r="B15" s="6" t="s">
        <v>18</v>
      </c>
      <c r="C15" s="7">
        <v>3610011</v>
      </c>
      <c r="D15" s="7">
        <f t="shared" si="0"/>
        <v>0</v>
      </c>
      <c r="E15" s="7">
        <v>0</v>
      </c>
      <c r="F15" s="7">
        <v>0</v>
      </c>
      <c r="G15" s="8">
        <v>0</v>
      </c>
      <c r="H15" s="45"/>
      <c r="I15" s="6" t="s">
        <v>67</v>
      </c>
      <c r="J15" s="7">
        <v>1500000</v>
      </c>
      <c r="K15" s="7">
        <f t="shared" si="1"/>
        <v>1500000</v>
      </c>
      <c r="L15" s="7">
        <v>1500000</v>
      </c>
      <c r="M15" s="7">
        <v>0</v>
      </c>
      <c r="N15" s="7">
        <v>0</v>
      </c>
    </row>
    <row r="16" spans="1:14" x14ac:dyDescent="0.3">
      <c r="A16" s="42"/>
      <c r="B16" s="6" t="s">
        <v>19</v>
      </c>
      <c r="C16" s="7">
        <v>0</v>
      </c>
      <c r="D16" s="7">
        <f t="shared" si="0"/>
        <v>0</v>
      </c>
      <c r="E16" s="7">
        <v>0</v>
      </c>
      <c r="F16" s="7">
        <v>0</v>
      </c>
      <c r="G16" s="8">
        <v>0</v>
      </c>
      <c r="H16" s="5"/>
      <c r="I16" s="6" t="s">
        <v>51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</row>
    <row r="17" spans="1:14" x14ac:dyDescent="0.3">
      <c r="A17" s="47" t="s">
        <v>12</v>
      </c>
      <c r="B17" s="2" t="s">
        <v>13</v>
      </c>
      <c r="C17" s="3">
        <f>SUM(C18:C19)</f>
        <v>26108500</v>
      </c>
      <c r="D17" s="3">
        <f t="shared" si="0"/>
        <v>25956170</v>
      </c>
      <c r="E17" s="3">
        <f>SUM(E18:E19)</f>
        <v>23956170</v>
      </c>
      <c r="F17" s="3">
        <f>SUM(F18:F19)</f>
        <v>2000000</v>
      </c>
      <c r="G17" s="4">
        <f>SUM(G18:G19)</f>
        <v>0</v>
      </c>
      <c r="H17" s="46"/>
      <c r="I17" s="6" t="s">
        <v>52</v>
      </c>
      <c r="J17" s="7">
        <v>28690000</v>
      </c>
      <c r="K17" s="7">
        <f t="shared" si="1"/>
        <v>25740000</v>
      </c>
      <c r="L17" s="7">
        <v>22050000</v>
      </c>
      <c r="M17" s="7">
        <v>3690000</v>
      </c>
      <c r="N17" s="7">
        <v>0</v>
      </c>
    </row>
    <row r="18" spans="1:14" x14ac:dyDescent="0.3">
      <c r="A18" s="42"/>
      <c r="B18" s="6" t="s">
        <v>36</v>
      </c>
      <c r="C18" s="7">
        <v>5702400</v>
      </c>
      <c r="D18" s="7">
        <f t="shared" si="0"/>
        <v>5150270</v>
      </c>
      <c r="E18" s="7">
        <v>3150270</v>
      </c>
      <c r="F18" s="7">
        <v>2000000</v>
      </c>
      <c r="G18" s="8">
        <v>0</v>
      </c>
      <c r="H18" s="46" t="s">
        <v>30</v>
      </c>
      <c r="I18" s="2" t="s">
        <v>49</v>
      </c>
      <c r="J18" s="3">
        <v>0</v>
      </c>
      <c r="K18" s="3">
        <f t="shared" si="1"/>
        <v>0</v>
      </c>
      <c r="L18" s="3">
        <v>0</v>
      </c>
      <c r="M18" s="3">
        <f>M19</f>
        <v>0</v>
      </c>
      <c r="N18" s="3">
        <f>N19</f>
        <v>0</v>
      </c>
    </row>
    <row r="19" spans="1:14" x14ac:dyDescent="0.3">
      <c r="A19" s="42"/>
      <c r="B19" s="6" t="s">
        <v>20</v>
      </c>
      <c r="C19" s="7">
        <v>20406100</v>
      </c>
      <c r="D19" s="7">
        <f t="shared" si="0"/>
        <v>20805900</v>
      </c>
      <c r="E19" s="7">
        <v>20805900</v>
      </c>
      <c r="F19" s="7">
        <v>0</v>
      </c>
      <c r="G19" s="8">
        <v>0</v>
      </c>
      <c r="H19" s="46"/>
      <c r="I19" s="6" t="s">
        <v>50</v>
      </c>
      <c r="J19" s="7">
        <v>0</v>
      </c>
      <c r="K19" s="7">
        <f t="shared" si="1"/>
        <v>0</v>
      </c>
      <c r="L19" s="7"/>
      <c r="M19" s="7">
        <v>0</v>
      </c>
      <c r="N19" s="7">
        <v>0</v>
      </c>
    </row>
    <row r="20" spans="1:14" x14ac:dyDescent="0.3">
      <c r="A20" s="47" t="s">
        <v>21</v>
      </c>
      <c r="B20" s="9" t="s">
        <v>22</v>
      </c>
      <c r="C20" s="3">
        <f>SUM(C21:C23)</f>
        <v>51000000</v>
      </c>
      <c r="D20" s="3">
        <f t="shared" si="0"/>
        <v>60200000</v>
      </c>
      <c r="E20" s="3">
        <f>SUM(E21:E23)</f>
        <v>60200000</v>
      </c>
      <c r="F20" s="3">
        <f>SUM(F21:F23)</f>
        <v>0</v>
      </c>
      <c r="G20" s="4">
        <f>SUM(G21:G23)</f>
        <v>0</v>
      </c>
      <c r="H20" s="46" t="s">
        <v>33</v>
      </c>
      <c r="I20" s="2" t="s">
        <v>56</v>
      </c>
      <c r="J20" s="3">
        <f>SUM(J21:J23)</f>
        <v>7481443</v>
      </c>
      <c r="K20" s="3">
        <f t="shared" si="1"/>
        <v>6209999</v>
      </c>
      <c r="L20" s="3">
        <f>SUM(L21:L23)</f>
        <v>2209999</v>
      </c>
      <c r="M20" s="3">
        <f>SUM(M21:M23)</f>
        <v>4000000</v>
      </c>
      <c r="N20" s="3">
        <f>SUM(N21:N23)</f>
        <v>0</v>
      </c>
    </row>
    <row r="21" spans="1:14" x14ac:dyDescent="0.3">
      <c r="A21" s="42"/>
      <c r="B21" s="6" t="s">
        <v>37</v>
      </c>
      <c r="C21" s="7">
        <v>50800000</v>
      </c>
      <c r="D21" s="7">
        <f t="shared" si="0"/>
        <v>60000000</v>
      </c>
      <c r="E21" s="7">
        <v>60000000</v>
      </c>
      <c r="F21" s="7">
        <v>0</v>
      </c>
      <c r="G21" s="8">
        <v>0</v>
      </c>
      <c r="H21" s="45"/>
      <c r="I21" s="6" t="s">
        <v>54</v>
      </c>
      <c r="J21" s="7">
        <v>5500000</v>
      </c>
      <c r="K21" s="7">
        <f t="shared" si="1"/>
        <v>4000000</v>
      </c>
      <c r="L21" s="7">
        <v>0</v>
      </c>
      <c r="M21" s="7">
        <v>4000000</v>
      </c>
      <c r="N21" s="7">
        <v>0</v>
      </c>
    </row>
    <row r="22" spans="1:14" x14ac:dyDescent="0.3">
      <c r="A22" s="42"/>
      <c r="B22" s="6" t="s">
        <v>38</v>
      </c>
      <c r="C22" s="7">
        <v>0</v>
      </c>
      <c r="D22" s="7">
        <f t="shared" si="0"/>
        <v>0</v>
      </c>
      <c r="E22" s="7">
        <v>0</v>
      </c>
      <c r="F22" s="7">
        <v>0</v>
      </c>
      <c r="G22" s="8">
        <v>0</v>
      </c>
      <c r="H22" s="46"/>
      <c r="I22" s="6" t="s">
        <v>108</v>
      </c>
      <c r="J22" s="7">
        <v>500000</v>
      </c>
      <c r="K22" s="7">
        <f t="shared" si="1"/>
        <v>250000</v>
      </c>
      <c r="L22" s="7">
        <v>250000</v>
      </c>
      <c r="M22" s="7">
        <v>0</v>
      </c>
      <c r="N22" s="7">
        <v>0</v>
      </c>
    </row>
    <row r="23" spans="1:14" x14ac:dyDescent="0.3">
      <c r="A23" s="42"/>
      <c r="B23" s="6" t="s">
        <v>39</v>
      </c>
      <c r="C23" s="7">
        <v>200000</v>
      </c>
      <c r="D23" s="7">
        <f t="shared" si="0"/>
        <v>200000</v>
      </c>
      <c r="E23" s="7">
        <v>200000</v>
      </c>
      <c r="F23" s="7">
        <v>0</v>
      </c>
      <c r="G23" s="8">
        <v>0</v>
      </c>
      <c r="H23" s="46"/>
      <c r="I23" s="6" t="s">
        <v>55</v>
      </c>
      <c r="J23" s="7">
        <v>1481443</v>
      </c>
      <c r="K23" s="7">
        <f t="shared" si="1"/>
        <v>1959999</v>
      </c>
      <c r="L23" s="7">
        <v>1959999</v>
      </c>
      <c r="M23" s="7">
        <v>0</v>
      </c>
      <c r="N23" s="7">
        <v>0</v>
      </c>
    </row>
    <row r="24" spans="1:14" x14ac:dyDescent="0.3">
      <c r="A24" s="47" t="s">
        <v>23</v>
      </c>
      <c r="B24" s="9" t="s">
        <v>24</v>
      </c>
      <c r="C24" s="3">
        <f>SUM(C26:C32)</f>
        <v>22438048</v>
      </c>
      <c r="D24" s="3">
        <f>SUM(E24:G24)</f>
        <v>45617709</v>
      </c>
      <c r="E24" s="3">
        <f>SUM(E25:E32)</f>
        <v>45617709</v>
      </c>
      <c r="F24" s="3">
        <f>SUM(F26:F31)</f>
        <v>0</v>
      </c>
      <c r="G24" s="4">
        <f>SUM(G26:G31)</f>
        <v>0</v>
      </c>
      <c r="H24" s="46"/>
      <c r="I24" s="39" t="s">
        <v>102</v>
      </c>
      <c r="J24" s="7"/>
      <c r="K24" s="7"/>
      <c r="L24" s="40">
        <v>1959999</v>
      </c>
      <c r="M24" s="7"/>
      <c r="N24" s="7"/>
    </row>
    <row r="25" spans="1:14" x14ac:dyDescent="0.3">
      <c r="A25" s="47"/>
      <c r="B25" s="6" t="s">
        <v>119</v>
      </c>
      <c r="C25" s="7">
        <v>0</v>
      </c>
      <c r="D25" s="7">
        <f>SUM(E25:G25)</f>
        <v>15276354</v>
      </c>
      <c r="E25" s="7">
        <v>15276354</v>
      </c>
      <c r="F25" s="3"/>
      <c r="G25" s="4"/>
      <c r="H25" s="46"/>
      <c r="I25" s="39" t="s">
        <v>103</v>
      </c>
      <c r="J25" s="7"/>
      <c r="K25" s="7"/>
      <c r="L25" s="40">
        <v>0</v>
      </c>
      <c r="M25" s="7"/>
      <c r="N25" s="7"/>
    </row>
    <row r="26" spans="1:14" x14ac:dyDescent="0.3">
      <c r="A26" s="42"/>
      <c r="B26" s="6" t="s">
        <v>25</v>
      </c>
      <c r="C26" s="7">
        <v>2732646</v>
      </c>
      <c r="D26" s="7">
        <f t="shared" si="0"/>
        <v>2740845</v>
      </c>
      <c r="E26" s="7">
        <v>2740845</v>
      </c>
      <c r="F26" s="7">
        <v>0</v>
      </c>
      <c r="G26" s="8">
        <v>0</v>
      </c>
      <c r="H26" s="46" t="s">
        <v>57</v>
      </c>
      <c r="I26" s="9" t="s">
        <v>58</v>
      </c>
      <c r="J26" s="3">
        <v>306190591</v>
      </c>
      <c r="K26" s="3">
        <f t="shared" si="1"/>
        <v>270117518</v>
      </c>
      <c r="L26" s="3">
        <v>270117518</v>
      </c>
      <c r="M26" s="3">
        <v>0</v>
      </c>
      <c r="N26" s="3">
        <v>0</v>
      </c>
    </row>
    <row r="27" spans="1:14" x14ac:dyDescent="0.3">
      <c r="A27" s="42"/>
      <c r="B27" s="6" t="s">
        <v>26</v>
      </c>
      <c r="C27" s="7">
        <v>167052</v>
      </c>
      <c r="D27" s="7">
        <f t="shared" si="0"/>
        <v>167052</v>
      </c>
      <c r="E27" s="7">
        <v>167052</v>
      </c>
      <c r="F27" s="7">
        <v>0</v>
      </c>
      <c r="G27" s="8">
        <v>0</v>
      </c>
      <c r="H27" s="46" t="s">
        <v>59</v>
      </c>
      <c r="I27" s="9" t="s">
        <v>60</v>
      </c>
      <c r="J27" s="3">
        <v>1124800</v>
      </c>
      <c r="K27" s="3">
        <f t="shared" si="1"/>
        <v>124800</v>
      </c>
      <c r="L27" s="3">
        <v>124800</v>
      </c>
      <c r="M27" s="3">
        <v>0</v>
      </c>
      <c r="N27" s="3">
        <v>0</v>
      </c>
    </row>
    <row r="28" spans="1:14" x14ac:dyDescent="0.3">
      <c r="A28" s="42"/>
      <c r="B28" s="6" t="s">
        <v>109</v>
      </c>
      <c r="C28" s="7">
        <v>3150000</v>
      </c>
      <c r="D28" s="7">
        <f t="shared" si="0"/>
        <v>3150000</v>
      </c>
      <c r="E28" s="7">
        <v>3150000</v>
      </c>
      <c r="F28" s="7"/>
      <c r="G28" s="8"/>
      <c r="H28" s="46" t="s">
        <v>29</v>
      </c>
      <c r="I28" s="9" t="s">
        <v>61</v>
      </c>
      <c r="J28" s="3">
        <f>SUM(J29:J30,J33)</f>
        <v>303196908</v>
      </c>
      <c r="K28" s="3">
        <f t="shared" si="1"/>
        <v>389019161</v>
      </c>
      <c r="L28" s="3">
        <f>SUM(L29:L30,L33)</f>
        <v>389019161</v>
      </c>
      <c r="M28" s="3">
        <f>SUM(M29:M30,M33)</f>
        <v>0</v>
      </c>
      <c r="N28" s="3">
        <f>SUM(N29:N30,N33)</f>
        <v>0</v>
      </c>
    </row>
    <row r="29" spans="1:14" x14ac:dyDescent="0.3">
      <c r="A29" s="42"/>
      <c r="B29" s="6" t="s">
        <v>27</v>
      </c>
      <c r="C29" s="7">
        <v>9291132</v>
      </c>
      <c r="D29" s="7">
        <f t="shared" si="0"/>
        <v>9653716</v>
      </c>
      <c r="E29" s="7">
        <v>9653716</v>
      </c>
      <c r="F29" s="7">
        <v>0</v>
      </c>
      <c r="G29" s="8">
        <v>0</v>
      </c>
      <c r="H29" s="45"/>
      <c r="I29" s="6" t="s">
        <v>62</v>
      </c>
      <c r="J29" s="7">
        <v>18457683</v>
      </c>
      <c r="K29" s="7">
        <f t="shared" si="1"/>
        <v>21384768</v>
      </c>
      <c r="L29" s="7">
        <v>21384768</v>
      </c>
      <c r="M29" s="7">
        <v>0</v>
      </c>
      <c r="N29" s="7">
        <v>0</v>
      </c>
    </row>
    <row r="30" spans="1:14" x14ac:dyDescent="0.3">
      <c r="A30" s="42"/>
      <c r="B30" s="6" t="s">
        <v>28</v>
      </c>
      <c r="C30" s="7">
        <v>4207762</v>
      </c>
      <c r="D30" s="7">
        <f t="shared" si="0"/>
        <v>8685650</v>
      </c>
      <c r="E30" s="7">
        <v>8685650</v>
      </c>
      <c r="F30" s="7">
        <v>0</v>
      </c>
      <c r="G30" s="8">
        <v>0</v>
      </c>
      <c r="H30" s="45"/>
      <c r="I30" s="6" t="s">
        <v>63</v>
      </c>
      <c r="J30" s="7">
        <f>SUM(J31:J32)</f>
        <v>284739225</v>
      </c>
      <c r="K30" s="7">
        <f>SUM(K31:K32)</f>
        <v>367634393</v>
      </c>
      <c r="L30" s="7">
        <f>SUM(L31:L32)</f>
        <v>367634393</v>
      </c>
      <c r="M30" s="7">
        <f>SUM(M31:M32)</f>
        <v>0</v>
      </c>
      <c r="N30" s="7">
        <f>SUM(N31:N32)</f>
        <v>0</v>
      </c>
    </row>
    <row r="31" spans="1:14" x14ac:dyDescent="0.3">
      <c r="A31" s="42"/>
      <c r="B31" s="6" t="s">
        <v>99</v>
      </c>
      <c r="C31" s="7">
        <v>889456</v>
      </c>
      <c r="D31" s="7">
        <f t="shared" si="0"/>
        <v>1181102</v>
      </c>
      <c r="E31" s="7">
        <v>1181102</v>
      </c>
      <c r="F31" s="7">
        <v>0</v>
      </c>
      <c r="G31" s="8">
        <v>0</v>
      </c>
      <c r="H31" s="45"/>
      <c r="I31" s="13" t="s">
        <v>104</v>
      </c>
      <c r="J31" s="7">
        <v>173225041</v>
      </c>
      <c r="K31" s="7">
        <f t="shared" si="1"/>
        <v>233382842</v>
      </c>
      <c r="L31" s="7">
        <v>233382842</v>
      </c>
      <c r="M31" s="7">
        <v>0</v>
      </c>
      <c r="N31" s="7">
        <v>0</v>
      </c>
    </row>
    <row r="32" spans="1:14" x14ac:dyDescent="0.3">
      <c r="A32" s="42"/>
      <c r="B32" s="6" t="s">
        <v>100</v>
      </c>
      <c r="C32" s="7">
        <v>2000000</v>
      </c>
      <c r="D32" s="7">
        <f t="shared" si="0"/>
        <v>4762990</v>
      </c>
      <c r="E32" s="7">
        <v>4762990</v>
      </c>
      <c r="F32" s="7"/>
      <c r="G32" s="8"/>
      <c r="H32" s="45"/>
      <c r="I32" s="13" t="s">
        <v>64</v>
      </c>
      <c r="J32" s="7">
        <v>111514184</v>
      </c>
      <c r="K32" s="7">
        <f t="shared" si="1"/>
        <v>134251551</v>
      </c>
      <c r="L32" s="7">
        <v>134251551</v>
      </c>
      <c r="M32" s="7">
        <v>0</v>
      </c>
      <c r="N32" s="7">
        <v>0</v>
      </c>
    </row>
    <row r="33" spans="1:14" x14ac:dyDescent="0.3">
      <c r="A33" s="47" t="s">
        <v>30</v>
      </c>
      <c r="B33" s="9" t="s">
        <v>34</v>
      </c>
      <c r="C33" s="3">
        <f>SUM(C34)</f>
        <v>50000</v>
      </c>
      <c r="D33" s="3">
        <f t="shared" si="0"/>
        <v>110000</v>
      </c>
      <c r="E33" s="3">
        <f>SUM(E34)</f>
        <v>110000</v>
      </c>
      <c r="F33" s="3">
        <f>SUM(F34)</f>
        <v>0</v>
      </c>
      <c r="G33" s="4">
        <f>SUM(G34)</f>
        <v>0</v>
      </c>
      <c r="H33" s="45"/>
      <c r="I33" s="6" t="s">
        <v>65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</row>
    <row r="34" spans="1:14" x14ac:dyDescent="0.3">
      <c r="A34" s="42"/>
      <c r="B34" s="6" t="s">
        <v>35</v>
      </c>
      <c r="C34" s="7">
        <v>50000</v>
      </c>
      <c r="D34" s="7">
        <f t="shared" si="0"/>
        <v>110000</v>
      </c>
      <c r="E34" s="7">
        <v>110000</v>
      </c>
      <c r="F34" s="7">
        <v>0</v>
      </c>
      <c r="G34" s="8">
        <v>0</v>
      </c>
      <c r="H34" s="45"/>
      <c r="I34" s="6"/>
      <c r="J34" s="7"/>
      <c r="K34" s="7"/>
      <c r="L34" s="7"/>
      <c r="M34" s="7"/>
      <c r="N34" s="7"/>
    </row>
    <row r="35" spans="1:14" x14ac:dyDescent="0.3">
      <c r="A35" s="47" t="s">
        <v>33</v>
      </c>
      <c r="B35" s="9" t="s">
        <v>31</v>
      </c>
      <c r="C35" s="3">
        <f>SUM(C36:C37)</f>
        <v>0</v>
      </c>
      <c r="D35" s="3">
        <f>SUM(D36:D37)</f>
        <v>0</v>
      </c>
      <c r="E35" s="3">
        <f>SUM(E36:E37)</f>
        <v>0</v>
      </c>
      <c r="F35" s="3">
        <f>SUM(F37)</f>
        <v>0</v>
      </c>
      <c r="G35" s="4">
        <f>SUM(G37)</f>
        <v>0</v>
      </c>
      <c r="H35" s="45"/>
      <c r="I35" s="6"/>
      <c r="J35" s="7"/>
      <c r="K35" s="7"/>
      <c r="L35" s="7"/>
      <c r="M35" s="7"/>
      <c r="N35" s="7"/>
    </row>
    <row r="36" spans="1:14" x14ac:dyDescent="0.3">
      <c r="A36" s="47"/>
      <c r="B36" s="6" t="s">
        <v>110</v>
      </c>
      <c r="C36" s="7">
        <v>0</v>
      </c>
      <c r="D36" s="7">
        <f>SUM(E36:G36)</f>
        <v>0</v>
      </c>
      <c r="E36" s="7">
        <v>0</v>
      </c>
      <c r="F36" s="7">
        <v>0</v>
      </c>
      <c r="G36" s="8">
        <v>0</v>
      </c>
      <c r="H36" s="45"/>
      <c r="I36" s="6"/>
      <c r="J36" s="7"/>
      <c r="K36" s="7"/>
      <c r="L36" s="7"/>
      <c r="M36" s="7"/>
      <c r="N36" s="7"/>
    </row>
    <row r="37" spans="1:14" s="10" customFormat="1" x14ac:dyDescent="0.3">
      <c r="A37" s="42"/>
      <c r="B37" s="6" t="s">
        <v>32</v>
      </c>
      <c r="C37" s="7">
        <v>0</v>
      </c>
      <c r="D37" s="7">
        <f t="shared" si="0"/>
        <v>0</v>
      </c>
      <c r="E37" s="7">
        <v>0</v>
      </c>
      <c r="F37" s="7">
        <v>0</v>
      </c>
      <c r="G37" s="8">
        <v>0</v>
      </c>
      <c r="H37" s="45"/>
      <c r="I37" s="6"/>
      <c r="J37" s="7"/>
      <c r="K37" s="7"/>
      <c r="L37" s="7"/>
      <c r="M37" s="7"/>
      <c r="N37" s="7"/>
    </row>
    <row r="38" spans="1:14" x14ac:dyDescent="0.3">
      <c r="A38" s="47" t="s">
        <v>29</v>
      </c>
      <c r="B38" s="9" t="s">
        <v>40</v>
      </c>
      <c r="C38" s="3">
        <f>SUM(C39:C40)</f>
        <v>349257741</v>
      </c>
      <c r="D38" s="3">
        <f t="shared" si="0"/>
        <v>328933712</v>
      </c>
      <c r="E38" s="3">
        <f>SUM(E39:E40)</f>
        <v>328933712</v>
      </c>
      <c r="F38" s="3">
        <f>SUM(F39)</f>
        <v>0</v>
      </c>
      <c r="G38" s="4">
        <f>SUM(G39)</f>
        <v>0</v>
      </c>
      <c r="H38" s="45"/>
      <c r="I38" s="6"/>
      <c r="J38" s="7"/>
      <c r="K38" s="7"/>
      <c r="L38" s="7"/>
      <c r="M38" s="7"/>
      <c r="N38" s="7"/>
    </row>
    <row r="39" spans="1:14" x14ac:dyDescent="0.3">
      <c r="A39" s="42"/>
      <c r="B39" s="6" t="s">
        <v>41</v>
      </c>
      <c r="C39" s="7">
        <v>349257741</v>
      </c>
      <c r="D39" s="7">
        <f t="shared" si="0"/>
        <v>328933712</v>
      </c>
      <c r="E39" s="7">
        <v>328933712</v>
      </c>
      <c r="F39" s="7">
        <v>0</v>
      </c>
      <c r="G39" s="8">
        <v>0</v>
      </c>
      <c r="H39" s="45"/>
      <c r="I39" s="6"/>
      <c r="J39" s="7"/>
      <c r="K39" s="7"/>
      <c r="L39" s="7"/>
      <c r="M39" s="7"/>
      <c r="N39" s="7"/>
    </row>
    <row r="40" spans="1:14" x14ac:dyDescent="0.3">
      <c r="A40" s="42"/>
      <c r="B40" s="6" t="s">
        <v>69</v>
      </c>
      <c r="C40" s="7">
        <v>0</v>
      </c>
      <c r="D40" s="7">
        <f>SUM(E40:G40)</f>
        <v>0</v>
      </c>
      <c r="E40" s="7">
        <v>0</v>
      </c>
      <c r="F40" s="7">
        <v>0</v>
      </c>
      <c r="G40" s="41">
        <v>0</v>
      </c>
      <c r="H40" s="45"/>
      <c r="I40" s="6"/>
      <c r="J40" s="7"/>
      <c r="K40" s="7"/>
      <c r="L40" s="7"/>
      <c r="M40" s="7"/>
      <c r="N40" s="7"/>
    </row>
    <row r="41" spans="1:14" x14ac:dyDescent="0.3">
      <c r="A41" s="47"/>
      <c r="B41" s="9" t="s">
        <v>42</v>
      </c>
      <c r="C41" s="3">
        <f>SUM(C8,C38)</f>
        <v>944108915</v>
      </c>
      <c r="D41" s="3">
        <f>SUM(D8,D38)</f>
        <v>996860565</v>
      </c>
      <c r="E41" s="3">
        <f>SUM(E8,E38)</f>
        <v>994860565</v>
      </c>
      <c r="F41" s="3">
        <f>SUM(F8,F38)</f>
        <v>2000000</v>
      </c>
      <c r="G41" s="38">
        <f>SUM(G8,G38)</f>
        <v>0</v>
      </c>
      <c r="H41" s="45"/>
      <c r="I41" s="9" t="s">
        <v>66</v>
      </c>
      <c r="J41" s="3">
        <f>SUM(J8,J28)</f>
        <v>944108915</v>
      </c>
      <c r="K41" s="3">
        <f>SUM(K8,K28)</f>
        <v>996860565</v>
      </c>
      <c r="L41" s="3">
        <f>SUM(L8,L28)</f>
        <v>960754088</v>
      </c>
      <c r="M41" s="3">
        <f>SUM(M8,M28)</f>
        <v>36106477</v>
      </c>
      <c r="N41" s="3">
        <f>SUM(N8,N28)</f>
        <v>0</v>
      </c>
    </row>
    <row r="42" spans="1:14" x14ac:dyDescent="0.3">
      <c r="B42" s="11"/>
    </row>
    <row r="43" spans="1:14" x14ac:dyDescent="0.3">
      <c r="B43" s="11"/>
    </row>
    <row r="44" spans="1:14" x14ac:dyDescent="0.3">
      <c r="B44" s="6" t="s">
        <v>24</v>
      </c>
      <c r="C44" s="7">
        <f>SUM(D9,D17,D20,D24,D33)</f>
        <v>667926853</v>
      </c>
    </row>
    <row r="45" spans="1:14" ht="14.4" thickBot="1" x14ac:dyDescent="0.35">
      <c r="B45" s="15" t="s">
        <v>105</v>
      </c>
      <c r="C45" s="16">
        <f>SUM(K9,K10,K11,K12,K18,K20)</f>
        <v>337599086</v>
      </c>
    </row>
    <row r="46" spans="1:14" x14ac:dyDescent="0.3">
      <c r="B46" s="17" t="s">
        <v>70</v>
      </c>
      <c r="C46" s="18">
        <f>C44-C45</f>
        <v>330327767</v>
      </c>
      <c r="D46" s="12">
        <v>197867743</v>
      </c>
    </row>
    <row r="47" spans="1:14" x14ac:dyDescent="0.3">
      <c r="B47" s="14" t="s">
        <v>31</v>
      </c>
      <c r="C47" s="7">
        <f>D35</f>
        <v>0</v>
      </c>
    </row>
    <row r="48" spans="1:14" ht="14.4" thickBot="1" x14ac:dyDescent="0.35">
      <c r="B48" s="19" t="s">
        <v>71</v>
      </c>
      <c r="C48" s="16">
        <f>SUM(K26:K27)</f>
        <v>270242318</v>
      </c>
    </row>
    <row r="49" spans="2:3" x14ac:dyDescent="0.3">
      <c r="B49" s="17" t="s">
        <v>72</v>
      </c>
      <c r="C49" s="18">
        <f>C47-C48</f>
        <v>-270242318</v>
      </c>
    </row>
    <row r="50" spans="2:3" x14ac:dyDescent="0.3">
      <c r="B50" s="14" t="s">
        <v>73</v>
      </c>
      <c r="C50" s="7">
        <f>D38</f>
        <v>328933712</v>
      </c>
    </row>
    <row r="51" spans="2:3" ht="14.4" thickBot="1" x14ac:dyDescent="0.35">
      <c r="B51" s="19" t="s">
        <v>74</v>
      </c>
      <c r="C51" s="16">
        <f>K28</f>
        <v>389019161</v>
      </c>
    </row>
    <row r="52" spans="2:3" x14ac:dyDescent="0.3">
      <c r="B52" s="17" t="s">
        <v>75</v>
      </c>
      <c r="C52" s="18">
        <f>C50-C51</f>
        <v>-60085449</v>
      </c>
    </row>
    <row r="53" spans="2:3" x14ac:dyDescent="0.3">
      <c r="B53" s="2" t="s">
        <v>76</v>
      </c>
      <c r="C53" s="3">
        <f>SUM(C46,C49,C52)</f>
        <v>0</v>
      </c>
    </row>
    <row r="56" spans="2:3" x14ac:dyDescent="0.3">
      <c r="B56" s="1" t="s">
        <v>93</v>
      </c>
      <c r="C56" s="12" t="s">
        <v>120</v>
      </c>
    </row>
    <row r="57" spans="2:3" x14ac:dyDescent="0.3">
      <c r="B57" s="37" t="s">
        <v>96</v>
      </c>
      <c r="C57" s="12" t="s">
        <v>121</v>
      </c>
    </row>
    <row r="58" spans="2:3" x14ac:dyDescent="0.3">
      <c r="B58" s="11" t="s">
        <v>97</v>
      </c>
      <c r="C58" s="12" t="s">
        <v>113</v>
      </c>
    </row>
  </sheetData>
  <mergeCells count="11">
    <mergeCell ref="A4:N4"/>
    <mergeCell ref="A1:N1"/>
    <mergeCell ref="A2:N3"/>
    <mergeCell ref="A6:A7"/>
    <mergeCell ref="B6:B7"/>
    <mergeCell ref="D6:G6"/>
    <mergeCell ref="H6:H7"/>
    <mergeCell ref="I6:I7"/>
    <mergeCell ref="K6:N6"/>
    <mergeCell ref="H5:N5"/>
    <mergeCell ref="A5:G5"/>
  </mergeCells>
  <phoneticPr fontId="1" type="noConversion"/>
  <pageMargins left="0.19685039370078741" right="0.19685039370078741" top="0.39370078740157483" bottom="0.39370078740157483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topLeftCell="A13" zoomScaleNormal="100" workbookViewId="0">
      <selection activeCell="N66" sqref="N66"/>
    </sheetView>
  </sheetViews>
  <sheetFormatPr defaultColWidth="9.109375" defaultRowHeight="15.6" x14ac:dyDescent="0.3"/>
  <cols>
    <col min="1" max="1" width="44" style="27" customWidth="1"/>
    <col min="2" max="3" width="16" style="25" customWidth="1"/>
    <col min="4" max="4" width="16.6640625" style="25" customWidth="1"/>
    <col min="5" max="5" width="16.109375" style="25" customWidth="1"/>
    <col min="6" max="6" width="16.33203125" style="25" customWidth="1"/>
    <col min="7" max="7" width="16.88671875" style="25" customWidth="1"/>
    <col min="8" max="8" width="15.6640625" style="25" customWidth="1"/>
    <col min="9" max="9" width="16.33203125" style="25" customWidth="1"/>
    <col min="10" max="10" width="16.109375" style="25" customWidth="1"/>
    <col min="11" max="12" width="16" style="25" customWidth="1"/>
    <col min="13" max="13" width="15.6640625" style="25" customWidth="1"/>
    <col min="14" max="14" width="16.5546875" style="25" customWidth="1"/>
    <col min="15" max="16384" width="9.109375" style="25"/>
  </cols>
  <sheetData>
    <row r="1" spans="1:14" x14ac:dyDescent="0.3">
      <c r="A1" s="61" t="s">
        <v>94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x14ac:dyDescent="0.3">
      <c r="A2" s="64" t="s">
        <v>115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x14ac:dyDescent="0.3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x14ac:dyDescent="0.3">
      <c r="A4" s="66" t="s">
        <v>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"/>
    </row>
    <row r="5" spans="1:14" x14ac:dyDescent="0.3">
      <c r="A5" s="62" t="s">
        <v>1</v>
      </c>
      <c r="B5" s="63" t="s">
        <v>78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x14ac:dyDescent="0.3">
      <c r="A6" s="62"/>
      <c r="B6" s="26" t="s">
        <v>77</v>
      </c>
      <c r="C6" s="26" t="s">
        <v>79</v>
      </c>
      <c r="D6" s="26" t="s">
        <v>80</v>
      </c>
      <c r="E6" s="26" t="s">
        <v>81</v>
      </c>
      <c r="F6" s="26" t="s">
        <v>82</v>
      </c>
      <c r="G6" s="26" t="s">
        <v>83</v>
      </c>
      <c r="H6" s="26" t="s">
        <v>84</v>
      </c>
      <c r="I6" s="26" t="s">
        <v>85</v>
      </c>
      <c r="J6" s="26" t="s">
        <v>86</v>
      </c>
      <c r="K6" s="26" t="s">
        <v>87</v>
      </c>
      <c r="L6" s="26" t="s">
        <v>88</v>
      </c>
      <c r="M6" s="26" t="s">
        <v>89</v>
      </c>
      <c r="N6" s="26" t="s">
        <v>5</v>
      </c>
    </row>
    <row r="7" spans="1:14" s="32" customFormat="1" x14ac:dyDescent="0.3">
      <c r="A7" s="20" t="s">
        <v>9</v>
      </c>
      <c r="B7" s="31">
        <f t="shared" ref="B7:N7" si="0">SUM(B8,B16,B19,B23,B32,B34,)</f>
        <v>68303578.19861111</v>
      </c>
      <c r="C7" s="31">
        <f t="shared" si="0"/>
        <v>64992828.8186111</v>
      </c>
      <c r="D7" s="31">
        <f t="shared" si="0"/>
        <v>73860619.828611106</v>
      </c>
      <c r="E7" s="31">
        <f t="shared" si="0"/>
        <v>48292311.120611101</v>
      </c>
      <c r="F7" s="31">
        <f t="shared" si="0"/>
        <v>47277186.120611101</v>
      </c>
      <c r="G7" s="31">
        <f t="shared" si="0"/>
        <v>51186062.825055547</v>
      </c>
      <c r="H7" s="31">
        <f t="shared" si="0"/>
        <v>45428640.529499993</v>
      </c>
      <c r="I7" s="31">
        <f t="shared" si="0"/>
        <v>47249185.529499993</v>
      </c>
      <c r="J7" s="31">
        <f t="shared" si="0"/>
        <v>70106859.238611102</v>
      </c>
      <c r="K7" s="31">
        <f t="shared" si="0"/>
        <v>46836859.238611102</v>
      </c>
      <c r="L7" s="31">
        <f t="shared" si="0"/>
        <v>49236984.238611102</v>
      </c>
      <c r="M7" s="31">
        <f t="shared" si="0"/>
        <v>55155736.943055548</v>
      </c>
      <c r="N7" s="31">
        <f t="shared" si="0"/>
        <v>667926852.63</v>
      </c>
    </row>
    <row r="8" spans="1:14" s="32" customFormat="1" x14ac:dyDescent="0.3">
      <c r="A8" s="21" t="s">
        <v>11</v>
      </c>
      <c r="B8" s="31">
        <f t="shared" ref="B8:N8" si="1">SUM(B9:B15)</f>
        <v>64325156.879999995</v>
      </c>
      <c r="C8" s="31">
        <f t="shared" si="1"/>
        <v>42883437.919999994</v>
      </c>
      <c r="D8" s="31">
        <f t="shared" si="1"/>
        <v>42883437.919999994</v>
      </c>
      <c r="E8" s="31">
        <f t="shared" si="1"/>
        <v>42883437.919999994</v>
      </c>
      <c r="F8" s="31">
        <f t="shared" si="1"/>
        <v>42883437.919999994</v>
      </c>
      <c r="G8" s="31">
        <f t="shared" si="1"/>
        <v>42883437.919999994</v>
      </c>
      <c r="H8" s="31">
        <f t="shared" si="1"/>
        <v>42883437.919999994</v>
      </c>
      <c r="I8" s="31">
        <f t="shared" si="1"/>
        <v>42883437.919999994</v>
      </c>
      <c r="J8" s="31">
        <f t="shared" si="1"/>
        <v>42883437.919999994</v>
      </c>
      <c r="K8" s="31">
        <f t="shared" si="1"/>
        <v>42883437.919999994</v>
      </c>
      <c r="L8" s="31">
        <f t="shared" si="1"/>
        <v>42883437.919999994</v>
      </c>
      <c r="M8" s="31">
        <f t="shared" si="1"/>
        <v>42883437.919999994</v>
      </c>
      <c r="N8" s="31">
        <f t="shared" si="1"/>
        <v>536042974</v>
      </c>
    </row>
    <row r="9" spans="1:14" x14ac:dyDescent="0.3">
      <c r="A9" s="22" t="s">
        <v>14</v>
      </c>
      <c r="B9" s="29">
        <f>költségvetés!E10*0.12</f>
        <v>22588179.719999999</v>
      </c>
      <c r="C9" s="29">
        <f>költségvetés!E10*0.08</f>
        <v>15058786.48</v>
      </c>
      <c r="D9" s="29">
        <f>költségvetés!E10*0.08</f>
        <v>15058786.48</v>
      </c>
      <c r="E9" s="29">
        <f>költségvetés!E10*0.08</f>
        <v>15058786.48</v>
      </c>
      <c r="F9" s="29">
        <f>költségvetés!E10*0.08</f>
        <v>15058786.48</v>
      </c>
      <c r="G9" s="29">
        <f>költségvetés!E10*0.08</f>
        <v>15058786.48</v>
      </c>
      <c r="H9" s="29">
        <f>költségvetés!E10*0.08</f>
        <v>15058786.48</v>
      </c>
      <c r="I9" s="29">
        <f>költségvetés!E10*0.08</f>
        <v>15058786.48</v>
      </c>
      <c r="J9" s="29">
        <f>költségvetés!E10*0.08</f>
        <v>15058786.48</v>
      </c>
      <c r="K9" s="29">
        <f>költségvetés!E10*0.08</f>
        <v>15058786.48</v>
      </c>
      <c r="L9" s="29">
        <f>költségvetés!E10*0.08</f>
        <v>15058786.48</v>
      </c>
      <c r="M9" s="29">
        <f>költségvetés!E10*0.08</f>
        <v>15058786.48</v>
      </c>
      <c r="N9" s="29">
        <f t="shared" ref="N9:N15" si="2">SUM(B9:M9)</f>
        <v>188234831</v>
      </c>
    </row>
    <row r="10" spans="1:14" x14ac:dyDescent="0.3">
      <c r="A10" s="22" t="s">
        <v>15</v>
      </c>
      <c r="B10" s="29">
        <f>költségvetés!E11*0.12</f>
        <v>18965060.399999999</v>
      </c>
      <c r="C10" s="29">
        <f>költségvetés!E11*0.08</f>
        <v>12643373.6</v>
      </c>
      <c r="D10" s="29">
        <f>költségvetés!E11*0.08</f>
        <v>12643373.6</v>
      </c>
      <c r="E10" s="29">
        <f>költségvetés!E11*0.08</f>
        <v>12643373.6</v>
      </c>
      <c r="F10" s="29">
        <f>költségvetés!E11*0.08</f>
        <v>12643373.6</v>
      </c>
      <c r="G10" s="29">
        <f>költségvetés!E11*0.08</f>
        <v>12643373.6</v>
      </c>
      <c r="H10" s="29">
        <f>költségvetés!E11*0.08</f>
        <v>12643373.6</v>
      </c>
      <c r="I10" s="29">
        <f>költségvetés!E11*0.08</f>
        <v>12643373.6</v>
      </c>
      <c r="J10" s="29">
        <f>költségvetés!E11*0.08</f>
        <v>12643373.6</v>
      </c>
      <c r="K10" s="29">
        <f>költségvetés!E11*0.08</f>
        <v>12643373.6</v>
      </c>
      <c r="L10" s="29">
        <f>költségvetés!E11*0.08</f>
        <v>12643373.6</v>
      </c>
      <c r="M10" s="29">
        <f>költségvetés!E11*0.08</f>
        <v>12643373.6</v>
      </c>
      <c r="N10" s="29">
        <f t="shared" si="2"/>
        <v>158042169.99999997</v>
      </c>
    </row>
    <row r="11" spans="1:14" x14ac:dyDescent="0.3">
      <c r="A11" s="22" t="s">
        <v>16</v>
      </c>
      <c r="B11" s="29">
        <f>költségvetés!E12*0.12</f>
        <v>12087877.559999999</v>
      </c>
      <c r="C11" s="29">
        <f>költségvetés!E12*0.08</f>
        <v>8058585.04</v>
      </c>
      <c r="D11" s="29">
        <f>költségvetés!E12*0.08</f>
        <v>8058585.04</v>
      </c>
      <c r="E11" s="29">
        <f>költségvetés!E12*0.08</f>
        <v>8058585.04</v>
      </c>
      <c r="F11" s="29">
        <f>költségvetés!E12*0.08</f>
        <v>8058585.04</v>
      </c>
      <c r="G11" s="29">
        <f>költségvetés!E12*0.08</f>
        <v>8058585.04</v>
      </c>
      <c r="H11" s="29">
        <f>költségvetés!E12*0.08</f>
        <v>8058585.04</v>
      </c>
      <c r="I11" s="29">
        <f>költségvetés!E12*0.08</f>
        <v>8058585.04</v>
      </c>
      <c r="J11" s="29">
        <f>költségvetés!E12*0.08</f>
        <v>8058585.04</v>
      </c>
      <c r="K11" s="29">
        <f>költségvetés!E12*0.08</f>
        <v>8058585.04</v>
      </c>
      <c r="L11" s="29">
        <f>költségvetés!E12*0.08</f>
        <v>8058585.04</v>
      </c>
      <c r="M11" s="29">
        <f>költségvetés!E12*0.08</f>
        <v>8058585.04</v>
      </c>
      <c r="N11" s="29">
        <f t="shared" si="2"/>
        <v>100732313.00000003</v>
      </c>
    </row>
    <row r="12" spans="1:14" x14ac:dyDescent="0.3">
      <c r="A12" s="22" t="s">
        <v>111</v>
      </c>
      <c r="B12" s="29">
        <f>költségvetés!E13*0.12</f>
        <v>9438031.6799999997</v>
      </c>
      <c r="C12" s="29">
        <f>költségvetés!E13*0.08</f>
        <v>6292021.1200000001</v>
      </c>
      <c r="D12" s="29">
        <f>költségvetés!E13*0.08</f>
        <v>6292021.1200000001</v>
      </c>
      <c r="E12" s="29">
        <f>költségvetés!E13*0.08</f>
        <v>6292021.1200000001</v>
      </c>
      <c r="F12" s="29">
        <f>költségvetés!E13*0.08</f>
        <v>6292021.1200000001</v>
      </c>
      <c r="G12" s="29">
        <f>költségvetés!E13*0.08</f>
        <v>6292021.1200000001</v>
      </c>
      <c r="H12" s="29">
        <f>költségvetés!E13*0.08</f>
        <v>6292021.1200000001</v>
      </c>
      <c r="I12" s="29">
        <f>költségvetés!E13*0.08</f>
        <v>6292021.1200000001</v>
      </c>
      <c r="J12" s="29">
        <f>költségvetés!E13*0.08</f>
        <v>6292021.1200000001</v>
      </c>
      <c r="K12" s="29">
        <f>költségvetés!E13*0.08</f>
        <v>6292021.1200000001</v>
      </c>
      <c r="L12" s="29">
        <f>költségvetés!E13*0.08</f>
        <v>6292021.1200000001</v>
      </c>
      <c r="M12" s="29">
        <f>költségvetés!E13*0.08</f>
        <v>6292021.1200000001</v>
      </c>
      <c r="N12" s="29">
        <f t="shared" si="2"/>
        <v>78650264</v>
      </c>
    </row>
    <row r="13" spans="1:14" x14ac:dyDescent="0.3">
      <c r="A13" s="22" t="s">
        <v>17</v>
      </c>
      <c r="B13" s="29">
        <f>költségvetés!E14*0.12</f>
        <v>1246007.52</v>
      </c>
      <c r="C13" s="29">
        <f>költségvetés!E14*0.08</f>
        <v>830671.68</v>
      </c>
      <c r="D13" s="29">
        <f>költségvetés!E14*0.08</f>
        <v>830671.68</v>
      </c>
      <c r="E13" s="29">
        <f>költségvetés!E14*0.08</f>
        <v>830671.68</v>
      </c>
      <c r="F13" s="29">
        <f>költségvetés!E14*0.08</f>
        <v>830671.68</v>
      </c>
      <c r="G13" s="29">
        <f>költségvetés!E14*0.08</f>
        <v>830671.68</v>
      </c>
      <c r="H13" s="29">
        <f>költségvetés!E14*0.08</f>
        <v>830671.68</v>
      </c>
      <c r="I13" s="29">
        <f>költségvetés!E14*0.08</f>
        <v>830671.68</v>
      </c>
      <c r="J13" s="29">
        <f>költségvetés!E14*0.08</f>
        <v>830671.68</v>
      </c>
      <c r="K13" s="29">
        <f>költségvetés!E14*0.08</f>
        <v>830671.68</v>
      </c>
      <c r="L13" s="29">
        <f>költségvetés!E14*0.08</f>
        <v>830671.68</v>
      </c>
      <c r="M13" s="29">
        <f>költségvetés!E14*0.08</f>
        <v>830671.68</v>
      </c>
      <c r="N13" s="29">
        <f t="shared" si="2"/>
        <v>10383395.999999998</v>
      </c>
    </row>
    <row r="14" spans="1:14" x14ac:dyDescent="0.3">
      <c r="A14" s="22" t="s">
        <v>114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f t="shared" si="2"/>
        <v>0</v>
      </c>
    </row>
    <row r="15" spans="1:14" s="32" customFormat="1" x14ac:dyDescent="0.3">
      <c r="A15" s="22" t="s">
        <v>19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f t="shared" si="2"/>
        <v>0</v>
      </c>
    </row>
    <row r="16" spans="1:14" x14ac:dyDescent="0.3">
      <c r="A16" s="21" t="s">
        <v>13</v>
      </c>
      <c r="B16" s="31">
        <f>SUM(B17:B18)</f>
        <v>1733825</v>
      </c>
      <c r="C16" s="31">
        <f t="shared" ref="C16:N16" si="3">SUM(C17:C18)</f>
        <v>1733825</v>
      </c>
      <c r="D16" s="31">
        <f t="shared" si="3"/>
        <v>2732460.59</v>
      </c>
      <c r="E16" s="31">
        <f t="shared" si="3"/>
        <v>2164151.8820000002</v>
      </c>
      <c r="F16" s="31">
        <f t="shared" si="3"/>
        <v>2164151.8820000002</v>
      </c>
      <c r="G16" s="31">
        <f t="shared" si="3"/>
        <v>2164151.8820000002</v>
      </c>
      <c r="H16" s="31">
        <f t="shared" si="3"/>
        <v>2164151.8820000002</v>
      </c>
      <c r="I16" s="31">
        <f t="shared" si="3"/>
        <v>2164151.8820000002</v>
      </c>
      <c r="J16" s="31">
        <f t="shared" si="3"/>
        <v>1733825</v>
      </c>
      <c r="K16" s="31">
        <f t="shared" si="3"/>
        <v>1733825</v>
      </c>
      <c r="L16" s="31">
        <f t="shared" si="3"/>
        <v>3133825</v>
      </c>
      <c r="M16" s="31">
        <f t="shared" si="3"/>
        <v>2333825</v>
      </c>
      <c r="N16" s="31">
        <f t="shared" si="3"/>
        <v>25956170</v>
      </c>
    </row>
    <row r="17" spans="1:14" x14ac:dyDescent="0.3">
      <c r="A17" s="22" t="s">
        <v>36</v>
      </c>
      <c r="B17" s="29">
        <v>0</v>
      </c>
      <c r="C17" s="29">
        <v>0</v>
      </c>
      <c r="D17" s="29">
        <f>költségvetés!$E18*0.317</f>
        <v>998635.59</v>
      </c>
      <c r="E17" s="29">
        <f>(költségvetés!$E18*0.683)/5</f>
        <v>430326.88200000004</v>
      </c>
      <c r="F17" s="29">
        <f>(költségvetés!$E18*0.683)/5</f>
        <v>430326.88200000004</v>
      </c>
      <c r="G17" s="29">
        <f>(költségvetés!$E18*0.683)/5</f>
        <v>430326.88200000004</v>
      </c>
      <c r="H17" s="29">
        <f>(költségvetés!$E18*0.683)/5</f>
        <v>430326.88200000004</v>
      </c>
      <c r="I17" s="29">
        <f>(költségvetés!$E18*0.683)/5</f>
        <v>430326.88200000004</v>
      </c>
      <c r="J17" s="29">
        <v>0</v>
      </c>
      <c r="K17" s="29">
        <v>0</v>
      </c>
      <c r="L17" s="29">
        <v>1400000</v>
      </c>
      <c r="M17" s="29">
        <v>600000</v>
      </c>
      <c r="N17" s="29">
        <f>SUM(B17:M17)</f>
        <v>5150270</v>
      </c>
    </row>
    <row r="18" spans="1:14" s="32" customFormat="1" x14ac:dyDescent="0.3">
      <c r="A18" s="22" t="s">
        <v>20</v>
      </c>
      <c r="B18" s="29">
        <f>költségvetés!$E19/12</f>
        <v>1733825</v>
      </c>
      <c r="C18" s="29">
        <f>költségvetés!$E19/12</f>
        <v>1733825</v>
      </c>
      <c r="D18" s="29">
        <f>költségvetés!$E19/12</f>
        <v>1733825</v>
      </c>
      <c r="E18" s="29">
        <f>költségvetés!$E19/12</f>
        <v>1733825</v>
      </c>
      <c r="F18" s="29">
        <f>költségvetés!$E19/12</f>
        <v>1733825</v>
      </c>
      <c r="G18" s="29">
        <f>költségvetés!$E19/12</f>
        <v>1733825</v>
      </c>
      <c r="H18" s="29">
        <f>költségvetés!$E19/12</f>
        <v>1733825</v>
      </c>
      <c r="I18" s="29">
        <f>költségvetés!$E19/12</f>
        <v>1733825</v>
      </c>
      <c r="J18" s="29">
        <f>költségvetés!$E19/12</f>
        <v>1733825</v>
      </c>
      <c r="K18" s="29">
        <f>költségvetés!$E19/12</f>
        <v>1733825</v>
      </c>
      <c r="L18" s="29">
        <f>költségvetés!$E19/12</f>
        <v>1733825</v>
      </c>
      <c r="M18" s="29">
        <f>költségvetés!$E19/12</f>
        <v>1733825</v>
      </c>
      <c r="N18" s="29">
        <f>SUM(B18:M18)</f>
        <v>20805900</v>
      </c>
    </row>
    <row r="19" spans="1:14" x14ac:dyDescent="0.3">
      <c r="A19" s="23" t="s">
        <v>22</v>
      </c>
      <c r="B19" s="31">
        <f>SUM(B20:B22)</f>
        <v>16666.666666666668</v>
      </c>
      <c r="C19" s="31">
        <f t="shared" ref="C19:N19" si="4">SUM(C20:C22)</f>
        <v>16666.666666666668</v>
      </c>
      <c r="D19" s="31">
        <f t="shared" si="4"/>
        <v>25016666.666666668</v>
      </c>
      <c r="E19" s="31">
        <f t="shared" si="4"/>
        <v>16666.666666666668</v>
      </c>
      <c r="F19" s="31">
        <f t="shared" si="4"/>
        <v>16666.666666666668</v>
      </c>
      <c r="G19" s="31">
        <f t="shared" si="4"/>
        <v>4616666.666666667</v>
      </c>
      <c r="H19" s="31">
        <f t="shared" si="4"/>
        <v>16666.666666666668</v>
      </c>
      <c r="I19" s="31">
        <f t="shared" si="4"/>
        <v>16666.666666666668</v>
      </c>
      <c r="J19" s="31">
        <f t="shared" si="4"/>
        <v>22016666.666666668</v>
      </c>
      <c r="K19" s="31">
        <f t="shared" si="4"/>
        <v>16666.666666666668</v>
      </c>
      <c r="L19" s="31">
        <f t="shared" si="4"/>
        <v>16666.666666666668</v>
      </c>
      <c r="M19" s="31">
        <f t="shared" si="4"/>
        <v>8416666.666666666</v>
      </c>
      <c r="N19" s="31">
        <f t="shared" si="4"/>
        <v>60200000</v>
      </c>
    </row>
    <row r="20" spans="1:14" x14ac:dyDescent="0.3">
      <c r="A20" s="22" t="s">
        <v>37</v>
      </c>
      <c r="B20" s="29">
        <v>0</v>
      </c>
      <c r="C20" s="29">
        <v>0</v>
      </c>
      <c r="D20" s="29">
        <v>25000000</v>
      </c>
      <c r="E20" s="29">
        <v>0</v>
      </c>
      <c r="F20" s="29">
        <v>0</v>
      </c>
      <c r="G20" s="29">
        <v>4600000</v>
      </c>
      <c r="H20" s="29">
        <v>0</v>
      </c>
      <c r="I20" s="29">
        <v>0</v>
      </c>
      <c r="J20" s="29">
        <v>22000000</v>
      </c>
      <c r="K20" s="29">
        <v>0</v>
      </c>
      <c r="L20" s="29">
        <v>0</v>
      </c>
      <c r="M20" s="29">
        <v>8400000</v>
      </c>
      <c r="N20" s="29">
        <f>SUM(B20:M20)</f>
        <v>60000000</v>
      </c>
    </row>
    <row r="21" spans="1:14" x14ac:dyDescent="0.3">
      <c r="A21" s="22" t="s">
        <v>38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f>SUM(B21:M21)</f>
        <v>0</v>
      </c>
    </row>
    <row r="22" spans="1:14" s="32" customFormat="1" x14ac:dyDescent="0.3">
      <c r="A22" s="22" t="s">
        <v>39</v>
      </c>
      <c r="B22" s="29">
        <f>költségvetés!$E23/12</f>
        <v>16666.666666666668</v>
      </c>
      <c r="C22" s="29">
        <f>költségvetés!$E23/12</f>
        <v>16666.666666666668</v>
      </c>
      <c r="D22" s="29">
        <f>költségvetés!$E23/12</f>
        <v>16666.666666666668</v>
      </c>
      <c r="E22" s="29">
        <f>költségvetés!$E23/12</f>
        <v>16666.666666666668</v>
      </c>
      <c r="F22" s="29">
        <f>költségvetés!$E23/12</f>
        <v>16666.666666666668</v>
      </c>
      <c r="G22" s="29">
        <f>költségvetés!$E23/12</f>
        <v>16666.666666666668</v>
      </c>
      <c r="H22" s="29">
        <f>költségvetés!$E23/12</f>
        <v>16666.666666666668</v>
      </c>
      <c r="I22" s="29">
        <f>költségvetés!$E23/12</f>
        <v>16666.666666666668</v>
      </c>
      <c r="J22" s="29">
        <f>költségvetés!$E23/12</f>
        <v>16666.666666666668</v>
      </c>
      <c r="K22" s="29">
        <f>költségvetés!$E23/12</f>
        <v>16666.666666666668</v>
      </c>
      <c r="L22" s="29">
        <f>költségvetés!$E23/12</f>
        <v>16666.666666666668</v>
      </c>
      <c r="M22" s="29">
        <f>költségvetés!$E23/12</f>
        <v>16666.666666666668</v>
      </c>
      <c r="N22" s="29">
        <f>SUM(B22:M22)</f>
        <v>199999.99999999997</v>
      </c>
    </row>
    <row r="23" spans="1:14" x14ac:dyDescent="0.3">
      <c r="A23" s="23" t="s">
        <v>24</v>
      </c>
      <c r="B23" s="31">
        <f>SUM(B24:B31)</f>
        <v>2202929.651944444</v>
      </c>
      <c r="C23" s="31">
        <f t="shared" ref="C23:M23" si="5">SUM(C24:C31)</f>
        <v>20333899.231944446</v>
      </c>
      <c r="D23" s="31">
        <f t="shared" si="5"/>
        <v>3203054.651944444</v>
      </c>
      <c r="E23" s="31">
        <f t="shared" si="5"/>
        <v>3203054.651944444</v>
      </c>
      <c r="F23" s="31">
        <f t="shared" si="5"/>
        <v>2202929.651944444</v>
      </c>
      <c r="G23" s="31">
        <f t="shared" si="5"/>
        <v>1521806.3563888888</v>
      </c>
      <c r="H23" s="31">
        <f t="shared" si="5"/>
        <v>364384.06083333335</v>
      </c>
      <c r="I23" s="31">
        <f t="shared" si="5"/>
        <v>2184929.0608333331</v>
      </c>
      <c r="J23" s="31">
        <f t="shared" si="5"/>
        <v>3472929.6519444445</v>
      </c>
      <c r="K23" s="31">
        <f t="shared" si="5"/>
        <v>2202929.651944444</v>
      </c>
      <c r="L23" s="31">
        <f t="shared" si="5"/>
        <v>3203054.651944444</v>
      </c>
      <c r="M23" s="31">
        <f t="shared" si="5"/>
        <v>1521807.3563888888</v>
      </c>
      <c r="N23" s="31">
        <f>SUM(N24:N31)</f>
        <v>45617708.629999995</v>
      </c>
    </row>
    <row r="24" spans="1:14" x14ac:dyDescent="0.3">
      <c r="A24" s="22" t="s">
        <v>119</v>
      </c>
      <c r="B24" s="29">
        <v>0</v>
      </c>
      <c r="C24" s="29">
        <v>14276354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1000000</v>
      </c>
      <c r="K24" s="29">
        <v>0</v>
      </c>
      <c r="L24" s="29">
        <v>0</v>
      </c>
      <c r="M24" s="29">
        <v>0</v>
      </c>
      <c r="N24" s="29">
        <f>SUM(B24:M24)</f>
        <v>15276354</v>
      </c>
    </row>
    <row r="25" spans="1:14" x14ac:dyDescent="0.3">
      <c r="A25" s="22" t="s">
        <v>25</v>
      </c>
      <c r="B25" s="29">
        <f>(költségvetés!$E26-646000)/12</f>
        <v>174570.41666666666</v>
      </c>
      <c r="C25" s="29">
        <f>(költségvetés!$E26-646000)/12</f>
        <v>174570.41666666666</v>
      </c>
      <c r="D25" s="29">
        <f>(költségvetés!$E26-646000)/12</f>
        <v>174570.41666666666</v>
      </c>
      <c r="E25" s="29">
        <f>(költségvetés!$E26-646000)/12</f>
        <v>174570.41666666666</v>
      </c>
      <c r="F25" s="29">
        <f>(költségvetés!$E26-646000)/12</f>
        <v>174570.41666666666</v>
      </c>
      <c r="G25" s="29">
        <f>(költségvetés!$E26-646000)/12</f>
        <v>174570.41666666666</v>
      </c>
      <c r="H25" s="29">
        <f>(költségvetés!$E26-646000)/12</f>
        <v>174570.41666666666</v>
      </c>
      <c r="I25" s="29">
        <f>(költségvetés!$E26-646000)/12+646000</f>
        <v>820570.41666666663</v>
      </c>
      <c r="J25" s="29">
        <f>(költségvetés!$E26-646000)/12</f>
        <v>174570.41666666666</v>
      </c>
      <c r="K25" s="29">
        <f>(költségvetés!$E26-646000)/12</f>
        <v>174570.41666666666</v>
      </c>
      <c r="L25" s="29">
        <f>(költségvetés!$E26-646000)/12</f>
        <v>174570.41666666666</v>
      </c>
      <c r="M25" s="29">
        <f>(költségvetés!$E26-646000)/12</f>
        <v>174570.41666666666</v>
      </c>
      <c r="N25" s="29">
        <f t="shared" ref="N25:N31" si="6">SUM(B25:M25)</f>
        <v>2740844.9999999991</v>
      </c>
    </row>
    <row r="26" spans="1:14" x14ac:dyDescent="0.3">
      <c r="A26" s="22" t="s">
        <v>26</v>
      </c>
      <c r="B26" s="29">
        <f>költségvetés!$E27/12</f>
        <v>13921</v>
      </c>
      <c r="C26" s="29">
        <f>költségvetés!$E27/12</f>
        <v>13921</v>
      </c>
      <c r="D26" s="29">
        <f>költségvetés!$E27/12</f>
        <v>13921</v>
      </c>
      <c r="E26" s="29">
        <f>költségvetés!$E27/12</f>
        <v>13921</v>
      </c>
      <c r="F26" s="29">
        <f>költségvetés!$E27/12</f>
        <v>13921</v>
      </c>
      <c r="G26" s="29">
        <f>költségvetés!$E27/12</f>
        <v>13921</v>
      </c>
      <c r="H26" s="29">
        <f>költségvetés!$E27/12</f>
        <v>13921</v>
      </c>
      <c r="I26" s="29">
        <f>költségvetés!$E27/12</f>
        <v>13921</v>
      </c>
      <c r="J26" s="29">
        <f>költségvetés!$E27/12</f>
        <v>13921</v>
      </c>
      <c r="K26" s="29">
        <f>költségvetés!$E27/12</f>
        <v>13921</v>
      </c>
      <c r="L26" s="29">
        <f>költségvetés!$E27/12</f>
        <v>13921</v>
      </c>
      <c r="M26" s="29">
        <f>költségvetés!$E27/12</f>
        <v>13921</v>
      </c>
      <c r="N26" s="29">
        <f t="shared" si="6"/>
        <v>167052</v>
      </c>
    </row>
    <row r="27" spans="1:14" x14ac:dyDescent="0.3">
      <c r="A27" s="22" t="s">
        <v>109</v>
      </c>
      <c r="B27" s="29">
        <v>0</v>
      </c>
      <c r="C27" s="29">
        <v>0</v>
      </c>
      <c r="D27" s="29">
        <v>787500</v>
      </c>
      <c r="E27" s="29">
        <v>787500</v>
      </c>
      <c r="F27" s="29">
        <v>0</v>
      </c>
      <c r="G27" s="29">
        <v>0</v>
      </c>
      <c r="H27" s="29">
        <v>0</v>
      </c>
      <c r="I27" s="29">
        <v>787500</v>
      </c>
      <c r="J27" s="29">
        <v>0</v>
      </c>
      <c r="K27" s="29">
        <v>0</v>
      </c>
      <c r="L27" s="29">
        <v>787500</v>
      </c>
      <c r="M27" s="29">
        <v>0</v>
      </c>
      <c r="N27" s="29">
        <f t="shared" si="6"/>
        <v>3150000</v>
      </c>
    </row>
    <row r="28" spans="1:14" x14ac:dyDescent="0.3">
      <c r="A28" s="22" t="s">
        <v>27</v>
      </c>
      <c r="B28" s="29">
        <f>költségvetés!$E29/9</f>
        <v>1072635.111111111</v>
      </c>
      <c r="C28" s="29">
        <f>költségvetés!$E29/9</f>
        <v>1072635.111111111</v>
      </c>
      <c r="D28" s="29">
        <f>költségvetés!$E29/9</f>
        <v>1072635.111111111</v>
      </c>
      <c r="E28" s="29">
        <f>költségvetés!$E29/9</f>
        <v>1072635.111111111</v>
      </c>
      <c r="F28" s="29">
        <f>költségvetés!$E29/9</f>
        <v>1072635.111111111</v>
      </c>
      <c r="G28" s="29">
        <f>(költségvetés!$E29/9)/2</f>
        <v>536317.5555555555</v>
      </c>
      <c r="H28" s="29">
        <v>0</v>
      </c>
      <c r="I28" s="29">
        <v>0</v>
      </c>
      <c r="J28" s="29">
        <f>költségvetés!$E29/9</f>
        <v>1072635.111111111</v>
      </c>
      <c r="K28" s="29">
        <f>költségvetés!$E29/9</f>
        <v>1072635.111111111</v>
      </c>
      <c r="L28" s="29">
        <f>költségvetés!$E29/9</f>
        <v>1072635.111111111</v>
      </c>
      <c r="M28" s="29">
        <f>(költségvetés!$E29/9)/2</f>
        <v>536317.5555555555</v>
      </c>
      <c r="N28" s="29">
        <f t="shared" si="6"/>
        <v>9653716</v>
      </c>
    </row>
    <row r="29" spans="1:14" x14ac:dyDescent="0.3">
      <c r="A29" s="22" t="s">
        <v>28</v>
      </c>
      <c r="B29" s="29">
        <f>SUM(B24:B28,B31)*0.27</f>
        <v>367078.95750000002</v>
      </c>
      <c r="C29" s="29">
        <f t="shared" ref="C29:M29" si="7">SUM(C24:C28,C31)*0.27</f>
        <v>4221694.5374999996</v>
      </c>
      <c r="D29" s="29">
        <f t="shared" si="7"/>
        <v>579703.9574999999</v>
      </c>
      <c r="E29" s="29">
        <f t="shared" si="7"/>
        <v>579703.9574999999</v>
      </c>
      <c r="F29" s="29">
        <f t="shared" si="7"/>
        <v>367078.95750000002</v>
      </c>
      <c r="G29" s="29">
        <f t="shared" si="7"/>
        <v>222273.21749999997</v>
      </c>
      <c r="H29" s="29">
        <f t="shared" si="7"/>
        <v>77467.477499999994</v>
      </c>
      <c r="I29" s="29">
        <f t="shared" si="7"/>
        <v>464512.47750000004</v>
      </c>
      <c r="J29" s="29">
        <f t="shared" si="7"/>
        <v>637078.95750000002</v>
      </c>
      <c r="K29" s="29">
        <f t="shared" si="7"/>
        <v>367078.95750000002</v>
      </c>
      <c r="L29" s="29">
        <f t="shared" si="7"/>
        <v>579703.9574999999</v>
      </c>
      <c r="M29" s="29">
        <f>(SUM(M24:M28,M31)*0.27)+1</f>
        <v>222274.21749999997</v>
      </c>
      <c r="N29" s="29">
        <f t="shared" si="6"/>
        <v>8685649.6299999971</v>
      </c>
    </row>
    <row r="30" spans="1:14" x14ac:dyDescent="0.3">
      <c r="A30" s="22" t="s">
        <v>100</v>
      </c>
      <c r="B30" s="29">
        <f>költségvetés!$E32/10</f>
        <v>476299</v>
      </c>
      <c r="C30" s="29">
        <f>költségvetés!$E32/10</f>
        <v>476299</v>
      </c>
      <c r="D30" s="29">
        <f>költségvetés!$E32/10</f>
        <v>476299</v>
      </c>
      <c r="E30" s="29">
        <f>költségvetés!$E32/10</f>
        <v>476299</v>
      </c>
      <c r="F30" s="29">
        <f>költségvetés!$E32/10</f>
        <v>476299</v>
      </c>
      <c r="G30" s="29">
        <f>költségvetés!$E32/10</f>
        <v>476299</v>
      </c>
      <c r="H30" s="29">
        <v>0</v>
      </c>
      <c r="I30" s="29">
        <v>0</v>
      </c>
      <c r="J30" s="29">
        <f>költségvetés!$E32/10</f>
        <v>476299</v>
      </c>
      <c r="K30" s="29">
        <f>költségvetés!$E32/10</f>
        <v>476299</v>
      </c>
      <c r="L30" s="29">
        <f>költségvetés!$E32/10</f>
        <v>476299</v>
      </c>
      <c r="M30" s="29">
        <f>költségvetés!$E32/10</f>
        <v>476299</v>
      </c>
      <c r="N30" s="29">
        <f t="shared" si="6"/>
        <v>4762990</v>
      </c>
    </row>
    <row r="31" spans="1:14" x14ac:dyDescent="0.3">
      <c r="A31" s="22" t="s">
        <v>101</v>
      </c>
      <c r="B31" s="29">
        <f>költségvetés!$E31/12</f>
        <v>98425.166666666672</v>
      </c>
      <c r="C31" s="29">
        <f>költségvetés!$E31/12</f>
        <v>98425.166666666672</v>
      </c>
      <c r="D31" s="29">
        <f>költségvetés!$E31/12</f>
        <v>98425.166666666672</v>
      </c>
      <c r="E31" s="29">
        <f>költségvetés!$E31/12</f>
        <v>98425.166666666672</v>
      </c>
      <c r="F31" s="29">
        <f>költségvetés!$E31/12</f>
        <v>98425.166666666672</v>
      </c>
      <c r="G31" s="29">
        <f>költségvetés!$E31/12</f>
        <v>98425.166666666672</v>
      </c>
      <c r="H31" s="29">
        <f>költségvetés!$E31/12</f>
        <v>98425.166666666672</v>
      </c>
      <c r="I31" s="29">
        <f>költségvetés!$E31/12</f>
        <v>98425.166666666672</v>
      </c>
      <c r="J31" s="29">
        <f>költségvetés!$E31/12</f>
        <v>98425.166666666672</v>
      </c>
      <c r="K31" s="29">
        <f>költségvetés!$E31/12</f>
        <v>98425.166666666672</v>
      </c>
      <c r="L31" s="29">
        <f>költségvetés!$E31/12</f>
        <v>98425.166666666672</v>
      </c>
      <c r="M31" s="29">
        <f>költségvetés!$E31/12</f>
        <v>98425.166666666672</v>
      </c>
      <c r="N31" s="29">
        <f t="shared" si="6"/>
        <v>1181102</v>
      </c>
    </row>
    <row r="32" spans="1:14" s="32" customFormat="1" x14ac:dyDescent="0.3">
      <c r="A32" s="23" t="s">
        <v>34</v>
      </c>
      <c r="B32" s="31">
        <f>B33</f>
        <v>25000</v>
      </c>
      <c r="C32" s="31">
        <f t="shared" ref="C32:N32" si="8">C33</f>
        <v>25000</v>
      </c>
      <c r="D32" s="31">
        <f t="shared" si="8"/>
        <v>25000</v>
      </c>
      <c r="E32" s="31">
        <f t="shared" si="8"/>
        <v>25000</v>
      </c>
      <c r="F32" s="31">
        <f t="shared" si="8"/>
        <v>10000</v>
      </c>
      <c r="G32" s="31">
        <f t="shared" si="8"/>
        <v>0</v>
      </c>
      <c r="H32" s="31">
        <f t="shared" si="8"/>
        <v>0</v>
      </c>
      <c r="I32" s="31">
        <f t="shared" si="8"/>
        <v>0</v>
      </c>
      <c r="J32" s="31">
        <f t="shared" si="8"/>
        <v>0</v>
      </c>
      <c r="K32" s="31">
        <f t="shared" si="8"/>
        <v>0</v>
      </c>
      <c r="L32" s="31">
        <f t="shared" si="8"/>
        <v>0</v>
      </c>
      <c r="M32" s="31">
        <f t="shared" si="8"/>
        <v>0</v>
      </c>
      <c r="N32" s="31">
        <f t="shared" si="8"/>
        <v>110000</v>
      </c>
    </row>
    <row r="33" spans="1:14" x14ac:dyDescent="0.3">
      <c r="A33" s="22" t="s">
        <v>35</v>
      </c>
      <c r="B33" s="29">
        <v>25000</v>
      </c>
      <c r="C33" s="29">
        <v>25000</v>
      </c>
      <c r="D33" s="29">
        <v>25000</v>
      </c>
      <c r="E33" s="29">
        <v>25000</v>
      </c>
      <c r="F33" s="29">
        <v>10000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f>SUM(B33:M33)</f>
        <v>110000</v>
      </c>
    </row>
    <row r="34" spans="1:14" x14ac:dyDescent="0.3">
      <c r="A34" s="23" t="s">
        <v>31</v>
      </c>
      <c r="B34" s="31">
        <f>SUM(B35:B36)</f>
        <v>0</v>
      </c>
      <c r="C34" s="31">
        <f t="shared" ref="C34:N34" si="9">SUM(C35:C36)</f>
        <v>0</v>
      </c>
      <c r="D34" s="31">
        <f t="shared" si="9"/>
        <v>0</v>
      </c>
      <c r="E34" s="31">
        <f t="shared" si="9"/>
        <v>0</v>
      </c>
      <c r="F34" s="31">
        <f t="shared" si="9"/>
        <v>0</v>
      </c>
      <c r="G34" s="31">
        <f t="shared" si="9"/>
        <v>0</v>
      </c>
      <c r="H34" s="31">
        <f t="shared" si="9"/>
        <v>0</v>
      </c>
      <c r="I34" s="31">
        <f t="shared" si="9"/>
        <v>0</v>
      </c>
      <c r="J34" s="31">
        <f t="shared" si="9"/>
        <v>0</v>
      </c>
      <c r="K34" s="31">
        <f t="shared" si="9"/>
        <v>0</v>
      </c>
      <c r="L34" s="31">
        <f t="shared" si="9"/>
        <v>0</v>
      </c>
      <c r="M34" s="31">
        <f t="shared" si="9"/>
        <v>0</v>
      </c>
      <c r="N34" s="31">
        <f t="shared" si="9"/>
        <v>0</v>
      </c>
    </row>
    <row r="35" spans="1:14" s="32" customFormat="1" x14ac:dyDescent="0.3">
      <c r="A35" s="22" t="s">
        <v>32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f>SUM(B35:M35)</f>
        <v>0</v>
      </c>
    </row>
    <row r="36" spans="1:14" x14ac:dyDescent="0.3">
      <c r="A36" s="22" t="s">
        <v>98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f>SUM(B36:M36)</f>
        <v>0</v>
      </c>
    </row>
    <row r="37" spans="1:14" x14ac:dyDescent="0.3">
      <c r="A37" s="23" t="s">
        <v>40</v>
      </c>
      <c r="B37" s="31">
        <f>SUM(B38:B39)</f>
        <v>328933712</v>
      </c>
      <c r="C37" s="31">
        <f t="shared" ref="C37:N37" si="10">SUM(C38:C39)</f>
        <v>0</v>
      </c>
      <c r="D37" s="31">
        <f t="shared" si="10"/>
        <v>0</v>
      </c>
      <c r="E37" s="31">
        <f t="shared" si="10"/>
        <v>0</v>
      </c>
      <c r="F37" s="31">
        <f t="shared" si="10"/>
        <v>0</v>
      </c>
      <c r="G37" s="31">
        <f t="shared" si="10"/>
        <v>0</v>
      </c>
      <c r="H37" s="31">
        <f t="shared" si="10"/>
        <v>0</v>
      </c>
      <c r="I37" s="31">
        <f t="shared" si="10"/>
        <v>0</v>
      </c>
      <c r="J37" s="31">
        <f t="shared" si="10"/>
        <v>0</v>
      </c>
      <c r="K37" s="31">
        <f t="shared" si="10"/>
        <v>0</v>
      </c>
      <c r="L37" s="31">
        <f t="shared" si="10"/>
        <v>0</v>
      </c>
      <c r="M37" s="31">
        <f t="shared" si="10"/>
        <v>0</v>
      </c>
      <c r="N37" s="31">
        <f t="shared" si="10"/>
        <v>328933712</v>
      </c>
    </row>
    <row r="38" spans="1:14" s="32" customFormat="1" x14ac:dyDescent="0.3">
      <c r="A38" s="22" t="s">
        <v>41</v>
      </c>
      <c r="B38" s="29">
        <f>költségvetés!E39</f>
        <v>328933712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f>SUM(B38:M38)</f>
        <v>328933712</v>
      </c>
    </row>
    <row r="39" spans="1:14" x14ac:dyDescent="0.3">
      <c r="A39" s="22" t="s">
        <v>69</v>
      </c>
      <c r="B39" s="29">
        <v>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f>SUM(B39:M39)</f>
        <v>0</v>
      </c>
    </row>
    <row r="40" spans="1:14" ht="16.2" thickBot="1" x14ac:dyDescent="0.35">
      <c r="A40" s="33" t="s">
        <v>42</v>
      </c>
      <c r="B40" s="34">
        <f t="shared" ref="B40:N40" si="11">SUM(B7,B37)</f>
        <v>397237290.19861114</v>
      </c>
      <c r="C40" s="34">
        <f t="shared" si="11"/>
        <v>64992828.8186111</v>
      </c>
      <c r="D40" s="34">
        <f t="shared" si="11"/>
        <v>73860619.828611106</v>
      </c>
      <c r="E40" s="34">
        <f t="shared" si="11"/>
        <v>48292311.120611101</v>
      </c>
      <c r="F40" s="34">
        <f t="shared" si="11"/>
        <v>47277186.120611101</v>
      </c>
      <c r="G40" s="34">
        <f t="shared" si="11"/>
        <v>51186062.825055547</v>
      </c>
      <c r="H40" s="34">
        <f t="shared" si="11"/>
        <v>45428640.529499993</v>
      </c>
      <c r="I40" s="34">
        <f t="shared" si="11"/>
        <v>47249185.529499993</v>
      </c>
      <c r="J40" s="34">
        <f t="shared" si="11"/>
        <v>70106859.238611102</v>
      </c>
      <c r="K40" s="34">
        <f t="shared" si="11"/>
        <v>46836859.238611102</v>
      </c>
      <c r="L40" s="34">
        <f t="shared" si="11"/>
        <v>49236984.238611102</v>
      </c>
      <c r="M40" s="34">
        <f t="shared" si="11"/>
        <v>55155736.943055548</v>
      </c>
      <c r="N40" s="34">
        <f t="shared" si="11"/>
        <v>996860564.63</v>
      </c>
    </row>
    <row r="41" spans="1:14" ht="16.2" thickTop="1" x14ac:dyDescent="0.3">
      <c r="A41" s="20" t="s">
        <v>44</v>
      </c>
      <c r="B41" s="35">
        <f>SUM(B42:B45,B51,B53,B57:B58)</f>
        <v>27283398.333333336</v>
      </c>
      <c r="C41" s="35">
        <f t="shared" ref="C41:N41" si="12">SUM(C42:C45,C51,C53,C57:C58)</f>
        <v>28428398.333333336</v>
      </c>
      <c r="D41" s="35">
        <f t="shared" si="12"/>
        <v>30326098.333333336</v>
      </c>
      <c r="E41" s="35">
        <f t="shared" si="12"/>
        <v>113760054.33333334</v>
      </c>
      <c r="F41" s="35">
        <f t="shared" si="12"/>
        <v>27901098.333333336</v>
      </c>
      <c r="G41" s="35">
        <f t="shared" si="12"/>
        <v>114466430.16666667</v>
      </c>
      <c r="H41" s="35">
        <f t="shared" si="12"/>
        <v>104857981</v>
      </c>
      <c r="I41" s="35">
        <f t="shared" si="12"/>
        <v>30089200</v>
      </c>
      <c r="J41" s="35">
        <f t="shared" si="12"/>
        <v>27664398.333333336</v>
      </c>
      <c r="K41" s="35">
        <f t="shared" si="12"/>
        <v>30553398.333333336</v>
      </c>
      <c r="L41" s="35">
        <f t="shared" si="12"/>
        <v>35544108.333333336</v>
      </c>
      <c r="M41" s="35">
        <f t="shared" si="12"/>
        <v>36966840.166666664</v>
      </c>
      <c r="N41" s="35">
        <f t="shared" si="12"/>
        <v>607841404</v>
      </c>
    </row>
    <row r="42" spans="1:14" s="32" customFormat="1" x14ac:dyDescent="0.3">
      <c r="A42" s="21" t="s">
        <v>45</v>
      </c>
      <c r="B42" s="31">
        <f>(költségvetés!$K9-6840710)/12</f>
        <v>5007885.75</v>
      </c>
      <c r="C42" s="31">
        <f>(költségvetés!$K9-6840710)/12</f>
        <v>5007885.75</v>
      </c>
      <c r="D42" s="31">
        <f>((költségvetés!$K9-6840710)/12)+(3480000/6)</f>
        <v>5587885.75</v>
      </c>
      <c r="E42" s="31">
        <f>((költségvetés!$K9-6840710)/12)+(3480000/6)</f>
        <v>5587885.75</v>
      </c>
      <c r="F42" s="31">
        <f>((költségvetés!$K9-6840710)/12)+(3480000/6)</f>
        <v>5587885.75</v>
      </c>
      <c r="G42" s="31">
        <f>((költségvetés!$K9-6840710)/12)+(3480000/6)</f>
        <v>5587885.75</v>
      </c>
      <c r="H42" s="31">
        <f>((költségvetés!$K9-6840710)/12)+(3480000/6)</f>
        <v>5587885.75</v>
      </c>
      <c r="I42" s="31">
        <f>((költségvetés!$K9-6840710)/12)+(3480000/6)</f>
        <v>5587885.75</v>
      </c>
      <c r="J42" s="31">
        <f>(költségvetés!$K9-6840710)/12</f>
        <v>5007885.75</v>
      </c>
      <c r="K42" s="31">
        <f>(költségvetés!$K9-6840710)/12</f>
        <v>5007885.75</v>
      </c>
      <c r="L42" s="31">
        <f>((költségvetés!$K9-6840710)/12)+3360710</f>
        <v>8368595.75</v>
      </c>
      <c r="M42" s="31">
        <f>(költségvetés!$K9-6840710)/12</f>
        <v>5007885.75</v>
      </c>
      <c r="N42" s="31">
        <f>SUM(B42:M42)</f>
        <v>66935339</v>
      </c>
    </row>
    <row r="43" spans="1:14" s="32" customFormat="1" x14ac:dyDescent="0.3">
      <c r="A43" s="21" t="s">
        <v>46</v>
      </c>
      <c r="B43" s="31">
        <f>(költségvetés!$K10-663092)/12</f>
        <v>615457.91666666663</v>
      </c>
      <c r="C43" s="31">
        <f>(költségvetés!$K10-663092)/12</f>
        <v>615457.91666666663</v>
      </c>
      <c r="D43" s="31">
        <f>((költségvetés!$K10-663092)/12)+(226200/6)</f>
        <v>653157.91666666663</v>
      </c>
      <c r="E43" s="31">
        <f>((költségvetés!$K10-663092)/12)+(226200/6)</f>
        <v>653157.91666666663</v>
      </c>
      <c r="F43" s="31">
        <f>((költségvetés!$K10-663092)/12)+(226200/6)</f>
        <v>653157.91666666663</v>
      </c>
      <c r="G43" s="31">
        <f>((költségvetés!$K10-663092)/12)+(226200/6)</f>
        <v>653157.91666666663</v>
      </c>
      <c r="H43" s="31">
        <f>((költségvetés!$K10-663092)/12)+(226200/6)</f>
        <v>653157.91666666663</v>
      </c>
      <c r="I43" s="31">
        <f>((költségvetés!$K10-663092)/12)+(226200/6)</f>
        <v>653157.91666666663</v>
      </c>
      <c r="J43" s="31">
        <f>(költségvetés!$K10-663092)/12</f>
        <v>615457.91666666663</v>
      </c>
      <c r="K43" s="31">
        <f>(költségvetés!$K10-663092)/12</f>
        <v>615457.91666666663</v>
      </c>
      <c r="L43" s="31">
        <f>(költségvetés!$K10-663092)/12</f>
        <v>615457.91666666663</v>
      </c>
      <c r="M43" s="31">
        <f>((költségvetés!$K10-663092)/12)+436892</f>
        <v>1052349.9166666665</v>
      </c>
      <c r="N43" s="31">
        <f>SUM(B43:M43)</f>
        <v>8048587</v>
      </c>
    </row>
    <row r="44" spans="1:14" x14ac:dyDescent="0.3">
      <c r="A44" s="21" t="s">
        <v>47</v>
      </c>
      <c r="B44" s="31">
        <f>(költségvetés!$K11-82862085)/12+82862085/9</f>
        <v>19894654.666666668</v>
      </c>
      <c r="C44" s="31">
        <f>(költségvetés!$K11-82862085)/12+82862085/9</f>
        <v>19894654.666666668</v>
      </c>
      <c r="D44" s="31">
        <f>(költségvetés!$K11-82862085)/12+82862085/9</f>
        <v>19894654.666666668</v>
      </c>
      <c r="E44" s="31">
        <f>(költségvetés!$K11-82862085)/12+82862085/9</f>
        <v>19894654.666666668</v>
      </c>
      <c r="F44" s="31">
        <f>(költségvetés!$K11-82862085)/12+82862085/9</f>
        <v>19894654.666666668</v>
      </c>
      <c r="G44" s="31">
        <f>(költségvetés!$K11-82862085)/12+(82862085/9)/2</f>
        <v>15291205.5</v>
      </c>
      <c r="H44" s="31">
        <f>(költségvetés!$K11-82862085)/12</f>
        <v>10687756.333333334</v>
      </c>
      <c r="I44" s="31">
        <f>(költségvetés!$K11-82862085)/12</f>
        <v>10687756.333333334</v>
      </c>
      <c r="J44" s="31">
        <f>(költségvetés!$K11-82862085)/12+82862085/9</f>
        <v>19894654.666666668</v>
      </c>
      <c r="K44" s="31">
        <f>(költségvetés!$K11-82862085)/12+82862085/9</f>
        <v>19894654.666666668</v>
      </c>
      <c r="L44" s="31">
        <f>(költségvetés!$K11-82862085)/12+82862085/9</f>
        <v>19894654.666666668</v>
      </c>
      <c r="M44" s="31">
        <f>(költségvetés!$K11-82862085)/12+(82862085/9)/2</f>
        <v>15291205.5</v>
      </c>
      <c r="N44" s="31">
        <f>SUM(B44:M44)</f>
        <v>211115160.99999997</v>
      </c>
    </row>
    <row r="45" spans="1:14" x14ac:dyDescent="0.3">
      <c r="A45" s="21" t="s">
        <v>48</v>
      </c>
      <c r="B45" s="31">
        <f>SUM(B46:B50)</f>
        <v>1630000</v>
      </c>
      <c r="C45" s="31">
        <f t="shared" ref="C45:N45" si="13">SUM(C46:C50)</f>
        <v>1630000</v>
      </c>
      <c r="D45" s="31">
        <f t="shared" si="13"/>
        <v>3180000</v>
      </c>
      <c r="E45" s="31">
        <f t="shared" si="13"/>
        <v>1755000</v>
      </c>
      <c r="F45" s="31">
        <f t="shared" si="13"/>
        <v>1755000</v>
      </c>
      <c r="G45" s="31">
        <f t="shared" si="13"/>
        <v>1755000</v>
      </c>
      <c r="H45" s="31">
        <f t="shared" si="13"/>
        <v>1750000</v>
      </c>
      <c r="I45" s="31">
        <f t="shared" si="13"/>
        <v>8025000</v>
      </c>
      <c r="J45" s="31">
        <f t="shared" si="13"/>
        <v>1755000</v>
      </c>
      <c r="K45" s="31">
        <f t="shared" si="13"/>
        <v>1755000</v>
      </c>
      <c r="L45" s="31">
        <f t="shared" si="13"/>
        <v>6655000</v>
      </c>
      <c r="M45" s="31">
        <f t="shared" si="13"/>
        <v>13645000</v>
      </c>
      <c r="N45" s="31">
        <f t="shared" si="13"/>
        <v>45290000</v>
      </c>
    </row>
    <row r="46" spans="1:14" x14ac:dyDescent="0.3">
      <c r="A46" s="22" t="s">
        <v>68</v>
      </c>
      <c r="B46" s="29">
        <v>5000</v>
      </c>
      <c r="C46" s="29">
        <v>5000</v>
      </c>
      <c r="D46" s="29">
        <v>5000</v>
      </c>
      <c r="E46" s="29">
        <v>5000</v>
      </c>
      <c r="F46" s="29">
        <v>5000</v>
      </c>
      <c r="G46" s="29">
        <v>5000</v>
      </c>
      <c r="H46" s="29">
        <v>0</v>
      </c>
      <c r="I46" s="29">
        <v>0</v>
      </c>
      <c r="J46" s="29">
        <v>5000</v>
      </c>
      <c r="K46" s="29">
        <v>5000</v>
      </c>
      <c r="L46" s="29">
        <v>5000</v>
      </c>
      <c r="M46" s="29">
        <v>5000</v>
      </c>
      <c r="N46" s="29">
        <f t="shared" ref="N46:N52" si="14">SUM(B46:M46)</f>
        <v>50000</v>
      </c>
    </row>
    <row r="47" spans="1:14" x14ac:dyDescent="0.3">
      <c r="A47" s="22" t="s">
        <v>53</v>
      </c>
      <c r="B47" s="29">
        <f>költségvetés!$L14/12</f>
        <v>1500000</v>
      </c>
      <c r="C47" s="29">
        <f>költségvetés!$L14/12</f>
        <v>1500000</v>
      </c>
      <c r="D47" s="29">
        <f>költségvetés!$L14/12</f>
        <v>1500000</v>
      </c>
      <c r="E47" s="29">
        <f>költségvetés!$L14/12</f>
        <v>1500000</v>
      </c>
      <c r="F47" s="29">
        <f>költségvetés!$L14/12</f>
        <v>1500000</v>
      </c>
      <c r="G47" s="29">
        <f>költségvetés!$L14/12</f>
        <v>1500000</v>
      </c>
      <c r="H47" s="29">
        <f>költségvetés!$L14/12</f>
        <v>1500000</v>
      </c>
      <c r="I47" s="29">
        <f>költségvetés!$L14/12</f>
        <v>1500000</v>
      </c>
      <c r="J47" s="29">
        <f>költségvetés!$L14/12</f>
        <v>1500000</v>
      </c>
      <c r="K47" s="29">
        <f>költségvetés!$L14/12</f>
        <v>1500000</v>
      </c>
      <c r="L47" s="29">
        <f>költségvetés!$L14/12</f>
        <v>1500000</v>
      </c>
      <c r="M47" s="29">
        <f>költségvetés!$L14/12</f>
        <v>1500000</v>
      </c>
      <c r="N47" s="29">
        <f t="shared" si="14"/>
        <v>18000000</v>
      </c>
    </row>
    <row r="48" spans="1:14" x14ac:dyDescent="0.3">
      <c r="A48" s="22" t="s">
        <v>67</v>
      </c>
      <c r="B48" s="29">
        <f>költségvetés!$L15/12</f>
        <v>125000</v>
      </c>
      <c r="C48" s="29">
        <f>költségvetés!$L15/12</f>
        <v>125000</v>
      </c>
      <c r="D48" s="29">
        <f>költségvetés!$L15/12</f>
        <v>125000</v>
      </c>
      <c r="E48" s="29">
        <f>költségvetés!$L15/12</f>
        <v>125000</v>
      </c>
      <c r="F48" s="29">
        <f>költségvetés!$L15/12</f>
        <v>125000</v>
      </c>
      <c r="G48" s="29">
        <f>költségvetés!$L15/12</f>
        <v>125000</v>
      </c>
      <c r="H48" s="29">
        <f>költségvetés!$L15/12</f>
        <v>125000</v>
      </c>
      <c r="I48" s="29">
        <f>költségvetés!$L15/12</f>
        <v>125000</v>
      </c>
      <c r="J48" s="29">
        <f>költségvetés!$L15/12</f>
        <v>125000</v>
      </c>
      <c r="K48" s="29">
        <f>költségvetés!$L15/12</f>
        <v>125000</v>
      </c>
      <c r="L48" s="29">
        <f>költségvetés!$L15/12</f>
        <v>125000</v>
      </c>
      <c r="M48" s="29">
        <f>költségvetés!$L15/12</f>
        <v>125000</v>
      </c>
      <c r="N48" s="29">
        <f t="shared" si="14"/>
        <v>1500000</v>
      </c>
    </row>
    <row r="49" spans="1:14" s="32" customFormat="1" x14ac:dyDescent="0.3">
      <c r="A49" s="22" t="s">
        <v>51</v>
      </c>
      <c r="B49" s="29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f t="shared" si="14"/>
        <v>0</v>
      </c>
    </row>
    <row r="50" spans="1:14" x14ac:dyDescent="0.3">
      <c r="A50" s="22" t="s">
        <v>52</v>
      </c>
      <c r="B50" s="29">
        <v>0</v>
      </c>
      <c r="C50" s="29">
        <v>0</v>
      </c>
      <c r="D50" s="29">
        <v>1550000</v>
      </c>
      <c r="E50" s="29">
        <v>125000</v>
      </c>
      <c r="F50" s="29">
        <v>125000</v>
      </c>
      <c r="G50" s="29">
        <v>125000</v>
      </c>
      <c r="H50" s="29">
        <v>125000</v>
      </c>
      <c r="I50" s="29">
        <v>6400000</v>
      </c>
      <c r="J50" s="29">
        <v>125000</v>
      </c>
      <c r="K50" s="29">
        <v>125000</v>
      </c>
      <c r="L50" s="29">
        <v>5025000</v>
      </c>
      <c r="M50" s="29">
        <v>12015000</v>
      </c>
      <c r="N50" s="29">
        <f t="shared" si="14"/>
        <v>25740000</v>
      </c>
    </row>
    <row r="51" spans="1:14" x14ac:dyDescent="0.3">
      <c r="A51" s="21" t="s">
        <v>49</v>
      </c>
      <c r="B51" s="31">
        <f>B52</f>
        <v>0</v>
      </c>
      <c r="C51" s="31">
        <v>0</v>
      </c>
      <c r="D51" s="31">
        <v>0</v>
      </c>
      <c r="E51" s="31">
        <f t="shared" ref="E51:M51" si="15">E52</f>
        <v>0</v>
      </c>
      <c r="F51" s="31">
        <f t="shared" si="15"/>
        <v>0</v>
      </c>
      <c r="G51" s="31">
        <f t="shared" si="15"/>
        <v>0</v>
      </c>
      <c r="H51" s="31">
        <f t="shared" si="15"/>
        <v>0</v>
      </c>
      <c r="I51" s="31">
        <f t="shared" si="15"/>
        <v>0</v>
      </c>
      <c r="J51" s="31">
        <f t="shared" si="15"/>
        <v>0</v>
      </c>
      <c r="K51" s="31">
        <f t="shared" si="15"/>
        <v>0</v>
      </c>
      <c r="L51" s="31">
        <f t="shared" si="15"/>
        <v>0</v>
      </c>
      <c r="M51" s="31">
        <f t="shared" si="15"/>
        <v>0</v>
      </c>
      <c r="N51" s="31">
        <f t="shared" si="14"/>
        <v>0</v>
      </c>
    </row>
    <row r="52" spans="1:14" x14ac:dyDescent="0.3">
      <c r="A52" s="22" t="s">
        <v>50</v>
      </c>
      <c r="B52" s="29">
        <v>0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f t="shared" si="14"/>
        <v>0</v>
      </c>
    </row>
    <row r="53" spans="1:14" x14ac:dyDescent="0.3">
      <c r="A53" s="21" t="s">
        <v>56</v>
      </c>
      <c r="B53" s="31">
        <f>SUM(B54:B56)</f>
        <v>125000</v>
      </c>
      <c r="C53" s="31">
        <f t="shared" ref="C53:N53" si="16">SUM(C54:C56)</f>
        <v>0</v>
      </c>
      <c r="D53" s="31">
        <f t="shared" si="16"/>
        <v>0</v>
      </c>
      <c r="E53" s="31">
        <f t="shared" si="16"/>
        <v>2000000</v>
      </c>
      <c r="F53" s="31">
        <f t="shared" si="16"/>
        <v>0</v>
      </c>
      <c r="G53" s="31">
        <f t="shared" si="16"/>
        <v>0</v>
      </c>
      <c r="H53" s="31">
        <f t="shared" si="16"/>
        <v>0</v>
      </c>
      <c r="I53" s="31">
        <f t="shared" si="16"/>
        <v>125000</v>
      </c>
      <c r="J53" s="31">
        <f t="shared" si="16"/>
        <v>0</v>
      </c>
      <c r="K53" s="31">
        <f t="shared" si="16"/>
        <v>2000000</v>
      </c>
      <c r="L53" s="31">
        <f t="shared" si="16"/>
        <v>0</v>
      </c>
      <c r="M53" s="31">
        <f t="shared" si="16"/>
        <v>1959999</v>
      </c>
      <c r="N53" s="31">
        <f t="shared" si="16"/>
        <v>6209999</v>
      </c>
    </row>
    <row r="54" spans="1:14" x14ac:dyDescent="0.3">
      <c r="A54" s="22" t="s">
        <v>54</v>
      </c>
      <c r="B54" s="29">
        <v>0</v>
      </c>
      <c r="C54" s="29">
        <v>0</v>
      </c>
      <c r="D54" s="29">
        <v>0</v>
      </c>
      <c r="E54" s="29">
        <v>2000000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2000000</v>
      </c>
      <c r="L54" s="29">
        <v>0</v>
      </c>
      <c r="M54" s="29">
        <v>0</v>
      </c>
      <c r="N54" s="29">
        <f>SUM(B54:M54)</f>
        <v>4000000</v>
      </c>
    </row>
    <row r="55" spans="1:14" x14ac:dyDescent="0.3">
      <c r="A55" s="22" t="s">
        <v>112</v>
      </c>
      <c r="B55" s="29">
        <v>125000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125000</v>
      </c>
      <c r="J55" s="29">
        <v>0</v>
      </c>
      <c r="K55" s="29">
        <v>0</v>
      </c>
      <c r="L55" s="29">
        <v>0</v>
      </c>
      <c r="M55" s="29">
        <v>0</v>
      </c>
      <c r="N55" s="29">
        <f>SUM(B55:M55)</f>
        <v>250000</v>
      </c>
    </row>
    <row r="56" spans="1:14" x14ac:dyDescent="0.3">
      <c r="A56" s="22" t="s">
        <v>55</v>
      </c>
      <c r="B56" s="29">
        <v>0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1959999</v>
      </c>
      <c r="N56" s="29">
        <f>SUM(B56:M56)</f>
        <v>1959999</v>
      </c>
    </row>
    <row r="57" spans="1:14" x14ac:dyDescent="0.3">
      <c r="A57" s="23" t="s">
        <v>58</v>
      </c>
      <c r="B57" s="31">
        <v>0</v>
      </c>
      <c r="C57" s="31">
        <v>1270000</v>
      </c>
      <c r="D57" s="31">
        <v>1000000</v>
      </c>
      <c r="E57" s="31">
        <v>83858956</v>
      </c>
      <c r="F57" s="31">
        <v>0</v>
      </c>
      <c r="G57" s="31">
        <v>91168781</v>
      </c>
      <c r="H57" s="31">
        <v>86168781</v>
      </c>
      <c r="I57" s="31">
        <v>5000000</v>
      </c>
      <c r="J57" s="31">
        <v>381000</v>
      </c>
      <c r="K57" s="31">
        <v>1270000</v>
      </c>
      <c r="L57" s="31"/>
      <c r="M57" s="31">
        <v>0</v>
      </c>
      <c r="N57" s="31">
        <f>SUM(B57:M57)</f>
        <v>270117518</v>
      </c>
    </row>
    <row r="58" spans="1:14" x14ac:dyDescent="0.3">
      <c r="A58" s="23" t="s">
        <v>60</v>
      </c>
      <c r="B58" s="31">
        <v>10400</v>
      </c>
      <c r="C58" s="31">
        <v>10400</v>
      </c>
      <c r="D58" s="31">
        <v>10400</v>
      </c>
      <c r="E58" s="31">
        <v>10400</v>
      </c>
      <c r="F58" s="31">
        <v>10400</v>
      </c>
      <c r="G58" s="31">
        <v>10400</v>
      </c>
      <c r="H58" s="31">
        <v>10400</v>
      </c>
      <c r="I58" s="31">
        <v>10400</v>
      </c>
      <c r="J58" s="31">
        <v>10400</v>
      </c>
      <c r="K58" s="31">
        <v>10400</v>
      </c>
      <c r="L58" s="31">
        <v>10400</v>
      </c>
      <c r="M58" s="31">
        <v>10400</v>
      </c>
      <c r="N58" s="31">
        <f>SUM(B58:M58)</f>
        <v>124800</v>
      </c>
    </row>
    <row r="59" spans="1:14" x14ac:dyDescent="0.3">
      <c r="A59" s="23" t="s">
        <v>61</v>
      </c>
      <c r="B59" s="31">
        <f>SUM(B60:B61)</f>
        <v>51067824.666666672</v>
      </c>
      <c r="C59" s="31">
        <f t="shared" ref="C59:N59" si="17">SUM(C60:C61)</f>
        <v>29683056.666666668</v>
      </c>
      <c r="D59" s="31">
        <f t="shared" si="17"/>
        <v>29683056.666666668</v>
      </c>
      <c r="E59" s="31">
        <f t="shared" si="17"/>
        <v>29683056.666666668</v>
      </c>
      <c r="F59" s="31">
        <f t="shared" si="17"/>
        <v>29683056.666666668</v>
      </c>
      <c r="G59" s="31">
        <f t="shared" si="17"/>
        <v>29683056.666666668</v>
      </c>
      <c r="H59" s="31">
        <f t="shared" si="17"/>
        <v>29683056.666666668</v>
      </c>
      <c r="I59" s="31">
        <f t="shared" si="17"/>
        <v>29683056.666666668</v>
      </c>
      <c r="J59" s="31">
        <f t="shared" si="17"/>
        <v>29683056.666666668</v>
      </c>
      <c r="K59" s="31">
        <f t="shared" si="17"/>
        <v>29683056.666666668</v>
      </c>
      <c r="L59" s="31">
        <f t="shared" si="17"/>
        <v>36414100.666666672</v>
      </c>
      <c r="M59" s="31">
        <f t="shared" si="17"/>
        <v>34389725.666666672</v>
      </c>
      <c r="N59" s="31">
        <f t="shared" si="17"/>
        <v>389019161</v>
      </c>
    </row>
    <row r="60" spans="1:14" x14ac:dyDescent="0.3">
      <c r="A60" s="22" t="s">
        <v>62</v>
      </c>
      <c r="B60" s="29">
        <v>21384768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f>SUM(B60:M60)</f>
        <v>21384768</v>
      </c>
    </row>
    <row r="61" spans="1:14" x14ac:dyDescent="0.3">
      <c r="A61" s="22" t="s">
        <v>63</v>
      </c>
      <c r="B61" s="29">
        <f>SUM(B62:B63)</f>
        <v>29683056.666666668</v>
      </c>
      <c r="C61" s="29">
        <f t="shared" ref="C61:N61" si="18">SUM(C62:C63)</f>
        <v>29683056.666666668</v>
      </c>
      <c r="D61" s="29">
        <f t="shared" si="18"/>
        <v>29683056.666666668</v>
      </c>
      <c r="E61" s="29">
        <f t="shared" si="18"/>
        <v>29683056.666666668</v>
      </c>
      <c r="F61" s="29">
        <f t="shared" si="18"/>
        <v>29683056.666666668</v>
      </c>
      <c r="G61" s="29">
        <f t="shared" si="18"/>
        <v>29683056.666666668</v>
      </c>
      <c r="H61" s="29">
        <f t="shared" si="18"/>
        <v>29683056.666666668</v>
      </c>
      <c r="I61" s="29">
        <f t="shared" si="18"/>
        <v>29683056.666666668</v>
      </c>
      <c r="J61" s="29">
        <f t="shared" si="18"/>
        <v>29683056.666666668</v>
      </c>
      <c r="K61" s="29">
        <f t="shared" si="18"/>
        <v>29683056.666666668</v>
      </c>
      <c r="L61" s="29">
        <f t="shared" si="18"/>
        <v>36414100.666666672</v>
      </c>
      <c r="M61" s="29">
        <f t="shared" si="18"/>
        <v>34389725.666666672</v>
      </c>
      <c r="N61" s="29">
        <f t="shared" si="18"/>
        <v>367634393</v>
      </c>
    </row>
    <row r="62" spans="1:14" x14ac:dyDescent="0.3">
      <c r="A62" s="24" t="s">
        <v>104</v>
      </c>
      <c r="B62" s="29">
        <f>(költségvetés!$L31-3932400)/12</f>
        <v>19120870.166666668</v>
      </c>
      <c r="C62" s="29">
        <f>(költségvetés!$L31-3932400)/12</f>
        <v>19120870.166666668</v>
      </c>
      <c r="D62" s="29">
        <f>(költségvetés!$L31-3932400)/12</f>
        <v>19120870.166666668</v>
      </c>
      <c r="E62" s="29">
        <f>(költségvetés!$L31-3932400)/12</f>
        <v>19120870.166666668</v>
      </c>
      <c r="F62" s="29">
        <f>(költségvetés!$L31-3932400)/12</f>
        <v>19120870.166666668</v>
      </c>
      <c r="G62" s="29">
        <f>(költségvetés!$L31-3932400)/12</f>
        <v>19120870.166666668</v>
      </c>
      <c r="H62" s="29">
        <f>(költségvetés!$L31-3932400)/12</f>
        <v>19120870.166666668</v>
      </c>
      <c r="I62" s="29">
        <f>(költségvetés!$L31-3932400)/12</f>
        <v>19120870.166666668</v>
      </c>
      <c r="J62" s="29">
        <f>(költségvetés!$L31-3932400)/12</f>
        <v>19120870.166666668</v>
      </c>
      <c r="K62" s="29">
        <f>(költségvetés!$L31-3932400)/12</f>
        <v>19120870.166666668</v>
      </c>
      <c r="L62" s="29">
        <f>((költségvetés!$L31-3932400)/12)+2314200</f>
        <v>21435070.166666668</v>
      </c>
      <c r="M62" s="29">
        <f>((költségvetés!$L31-3932400)/12)+1618200</f>
        <v>20739070.166666668</v>
      </c>
      <c r="N62" s="29">
        <f>SUM(B62:M62)</f>
        <v>233382841.99999997</v>
      </c>
    </row>
    <row r="63" spans="1:14" x14ac:dyDescent="0.3">
      <c r="A63" s="24" t="s">
        <v>64</v>
      </c>
      <c r="B63" s="29">
        <f>(költségvetés!$L32-7505313)/12</f>
        <v>10562186.5</v>
      </c>
      <c r="C63" s="29">
        <f>(költségvetés!$L32-7505313)/12</f>
        <v>10562186.5</v>
      </c>
      <c r="D63" s="29">
        <f>(költségvetés!$L32-7505313)/12</f>
        <v>10562186.5</v>
      </c>
      <c r="E63" s="29">
        <f>(költségvetés!$L32-7505313)/12</f>
        <v>10562186.5</v>
      </c>
      <c r="F63" s="29">
        <f>(költségvetés!$L32-7505313)/12</f>
        <v>10562186.5</v>
      </c>
      <c r="G63" s="29">
        <f>(költségvetés!$L32-7505313)/12</f>
        <v>10562186.5</v>
      </c>
      <c r="H63" s="29">
        <f>(költségvetés!$L32-7505313)/12</f>
        <v>10562186.5</v>
      </c>
      <c r="I63" s="29">
        <f>(költségvetés!$L32-7505313)/12</f>
        <v>10562186.5</v>
      </c>
      <c r="J63" s="29">
        <f>(költségvetés!$L32-7505313)/12</f>
        <v>10562186.5</v>
      </c>
      <c r="K63" s="29">
        <f>(költségvetés!$L32-7505313)/12</f>
        <v>10562186.5</v>
      </c>
      <c r="L63" s="29">
        <f>((költségvetés!$L32-7505313)/12)+4416844</f>
        <v>14979030.5</v>
      </c>
      <c r="M63" s="29">
        <f>((költségvetés!$L32-7505313)/12)+3088469</f>
        <v>13650655.5</v>
      </c>
      <c r="N63" s="29">
        <f>SUM(B63:M63)</f>
        <v>134251551</v>
      </c>
    </row>
    <row r="64" spans="1:14" s="32" customFormat="1" x14ac:dyDescent="0.3">
      <c r="A64" s="22" t="s">
        <v>65</v>
      </c>
      <c r="B64" s="29">
        <v>0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30">
        <v>0</v>
      </c>
    </row>
    <row r="65" spans="1:14" s="32" customFormat="1" ht="16.2" thickBot="1" x14ac:dyDescent="0.35">
      <c r="A65" s="33" t="s">
        <v>66</v>
      </c>
      <c r="B65" s="34">
        <f>SUM(B41,B59)</f>
        <v>78351223</v>
      </c>
      <c r="C65" s="34">
        <f t="shared" ref="C65:M65" si="19">SUM(C41,C59)</f>
        <v>58111455</v>
      </c>
      <c r="D65" s="34">
        <f t="shared" si="19"/>
        <v>60009155</v>
      </c>
      <c r="E65" s="34">
        <f t="shared" si="19"/>
        <v>143443111</v>
      </c>
      <c r="F65" s="34">
        <f t="shared" si="19"/>
        <v>57584155</v>
      </c>
      <c r="G65" s="34">
        <f t="shared" si="19"/>
        <v>144149486.83333334</v>
      </c>
      <c r="H65" s="34">
        <f t="shared" si="19"/>
        <v>134541037.66666666</v>
      </c>
      <c r="I65" s="34">
        <f t="shared" si="19"/>
        <v>59772256.666666672</v>
      </c>
      <c r="J65" s="34">
        <f t="shared" si="19"/>
        <v>57347455</v>
      </c>
      <c r="K65" s="34">
        <f t="shared" si="19"/>
        <v>60236455</v>
      </c>
      <c r="L65" s="34">
        <f t="shared" si="19"/>
        <v>71958209</v>
      </c>
      <c r="M65" s="34">
        <f t="shared" si="19"/>
        <v>71356565.833333343</v>
      </c>
      <c r="N65" s="34">
        <f>SUM(N41,N59)</f>
        <v>996860565</v>
      </c>
    </row>
    <row r="66" spans="1:14" ht="16.2" thickTop="1" x14ac:dyDescent="0.3">
      <c r="A66" s="36" t="s">
        <v>91</v>
      </c>
      <c r="B66" s="35">
        <f>B40-B65</f>
        <v>318886067.19861114</v>
      </c>
      <c r="C66" s="35">
        <f t="shared" ref="C66:N66" si="20">C40-C65</f>
        <v>6881373.8186111003</v>
      </c>
      <c r="D66" s="35">
        <f t="shared" si="20"/>
        <v>13851464.828611106</v>
      </c>
      <c r="E66" s="35">
        <f t="shared" si="20"/>
        <v>-95150799.879388899</v>
      </c>
      <c r="F66" s="35">
        <f t="shared" si="20"/>
        <v>-10306968.879388899</v>
      </c>
      <c r="G66" s="35">
        <f t="shared" si="20"/>
        <v>-92963424.008277804</v>
      </c>
      <c r="H66" s="35">
        <f t="shared" si="20"/>
        <v>-89112397.137166664</v>
      </c>
      <c r="I66" s="35">
        <f t="shared" si="20"/>
        <v>-12523071.137166679</v>
      </c>
      <c r="J66" s="35">
        <f t="shared" si="20"/>
        <v>12759404.238611102</v>
      </c>
      <c r="K66" s="35">
        <f t="shared" si="20"/>
        <v>-13399595.761388898</v>
      </c>
      <c r="L66" s="35">
        <f t="shared" si="20"/>
        <v>-22721224.761388898</v>
      </c>
      <c r="M66" s="35">
        <f t="shared" si="20"/>
        <v>-16200828.890277795</v>
      </c>
      <c r="N66" s="35">
        <f t="shared" si="20"/>
        <v>-0.37000000476837158</v>
      </c>
    </row>
    <row r="67" spans="1:14" x14ac:dyDescent="0.3">
      <c r="A67" s="23" t="s">
        <v>90</v>
      </c>
      <c r="B67" s="31">
        <f>B66</f>
        <v>318886067.19861114</v>
      </c>
      <c r="C67" s="31">
        <f t="shared" ref="C67:K67" si="21">B67+C66</f>
        <v>325767441.01722223</v>
      </c>
      <c r="D67" s="31">
        <f t="shared" ref="D67" si="22">C67+D66</f>
        <v>339618905.8458333</v>
      </c>
      <c r="E67" s="31">
        <f t="shared" ref="E67" si="23">D67+E66</f>
        <v>244468105.9664444</v>
      </c>
      <c r="F67" s="31">
        <f t="shared" ref="F67" si="24">E67+F66</f>
        <v>234161137.0870555</v>
      </c>
      <c r="G67" s="31">
        <f t="shared" ref="G67" si="25">F67+G66</f>
        <v>141197713.0787777</v>
      </c>
      <c r="H67" s="31">
        <f t="shared" ref="H67" si="26">G67+H66</f>
        <v>52085315.941611037</v>
      </c>
      <c r="I67" s="31">
        <f t="shared" ref="I67" si="27">H67+I66</f>
        <v>39562244.804444358</v>
      </c>
      <c r="J67" s="31">
        <f t="shared" ref="J67" si="28">I67+J66</f>
        <v>52321649.04305546</v>
      </c>
      <c r="K67" s="31">
        <f t="shared" ref="K67" si="29">J67+K66</f>
        <v>38922053.281666562</v>
      </c>
      <c r="L67" s="31">
        <f t="shared" ref="L67" si="30">K67+L66</f>
        <v>16200828.520277664</v>
      </c>
      <c r="M67" s="31">
        <f t="shared" ref="M67" si="31">L67+M66</f>
        <v>-0.37000013142824173</v>
      </c>
      <c r="N67" s="31">
        <f>M67+N66+1</f>
        <v>0.25999986380338669</v>
      </c>
    </row>
    <row r="68" spans="1:14" x14ac:dyDescent="0.3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</row>
    <row r="69" spans="1:14" x14ac:dyDescent="0.3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</row>
    <row r="70" spans="1:14" x14ac:dyDescent="0.3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</row>
    <row r="71" spans="1:14" x14ac:dyDescent="0.3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</row>
    <row r="72" spans="1:14" x14ac:dyDescent="0.3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</row>
    <row r="73" spans="1:14" x14ac:dyDescent="0.3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</row>
    <row r="74" spans="1:14" x14ac:dyDescent="0.3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</row>
    <row r="75" spans="1:14" x14ac:dyDescent="0.3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1:14" x14ac:dyDescent="0.3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</row>
    <row r="77" spans="1:14" x14ac:dyDescent="0.3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1:14" x14ac:dyDescent="0.3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</sheetData>
  <mergeCells count="5">
    <mergeCell ref="A1:N1"/>
    <mergeCell ref="A5:A6"/>
    <mergeCell ref="B5:N5"/>
    <mergeCell ref="A2:N3"/>
    <mergeCell ref="A4:N4"/>
  </mergeCells>
  <phoneticPr fontId="1" type="noConversion"/>
  <pageMargins left="0.19685039370078741" right="0.19685039370078741" top="0.39370078740157483" bottom="0.39370078740157483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költségvetés</vt:lpstr>
      <vt:lpstr>Előirányzat felhasználási terv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Lilian</cp:lastModifiedBy>
  <cp:lastPrinted>2022-02-24T08:18:54Z</cp:lastPrinted>
  <dcterms:created xsi:type="dcterms:W3CDTF">2016-02-08T12:25:52Z</dcterms:created>
  <dcterms:modified xsi:type="dcterms:W3CDTF">2023-02-16T10:17:16Z</dcterms:modified>
</cp:coreProperties>
</file>